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/>
  <xr:revisionPtr revIDLastSave="2" documentId="8_{BA87FC9A-700B-4BA9-9D6F-7146E64EEAA0}" xr6:coauthVersionLast="47" xr6:coauthVersionMax="47" xr10:uidLastSave="{34DC8B65-0042-4CAB-8C90-FD672F817F7B}"/>
  <bookViews>
    <workbookView xWindow="-120" yWindow="-120" windowWidth="25440" windowHeight="15390" activeTab="1" xr2:uid="{00000000-000D-0000-FFFF-FFFF00000000}"/>
  </bookViews>
  <sheets>
    <sheet name="Naslovna strana" sheetId="17" r:id="rId1"/>
    <sheet name="SAŽETAK" sheetId="15" r:id="rId2"/>
    <sheet name="OPĆI DIO-PRIHODI" sheetId="12" r:id="rId3"/>
    <sheet name="OPĆI DIO-RASHODI" sheetId="16" r:id="rId4"/>
    <sheet name="RASHODI PO FUNKCIJSKOJ KLASIF." sheetId="22" r:id="rId5"/>
    <sheet name="POSEBNI DIO" sheetId="20" r:id="rId6"/>
  </sheets>
  <definedNames>
    <definedName name="_GoBack" localSheetId="2">#N/A</definedName>
    <definedName name="_GoBack" localSheetId="3">#N/A</definedName>
    <definedName name="_xlnm.Print_Titles" localSheetId="5">'POSEBNI DIO'!$5:$5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6" i="20" l="1"/>
  <c r="F530" i="20"/>
  <c r="F431" i="20"/>
  <c r="G433" i="20"/>
  <c r="F513" i="20"/>
  <c r="G80" i="20"/>
  <c r="F425" i="20"/>
  <c r="G426" i="20"/>
  <c r="G463" i="20"/>
  <c r="F498" i="20"/>
  <c r="G445" i="20"/>
  <c r="G427" i="20"/>
  <c r="E425" i="20"/>
  <c r="F420" i="20"/>
  <c r="G422" i="20"/>
  <c r="E420" i="20"/>
  <c r="G421" i="20"/>
  <c r="F358" i="20"/>
  <c r="G359" i="20"/>
  <c r="G243" i="20"/>
  <c r="G215" i="20"/>
  <c r="G210" i="20"/>
  <c r="G209" i="20"/>
  <c r="G200" i="20"/>
  <c r="G193" i="20"/>
  <c r="F159" i="20"/>
  <c r="G160" i="20"/>
  <c r="F9" i="22"/>
  <c r="E9" i="22"/>
  <c r="D8" i="22"/>
  <c r="D7" i="22" s="1"/>
  <c r="D6" i="22" s="1"/>
  <c r="C8" i="22"/>
  <c r="C7" i="22" s="1"/>
  <c r="B8" i="22"/>
  <c r="B7" i="22" s="1"/>
  <c r="B6" i="22" s="1"/>
  <c r="F7" i="22" l="1"/>
  <c r="F8" i="22"/>
  <c r="E424" i="20"/>
  <c r="E423" i="20" s="1"/>
  <c r="G425" i="20"/>
  <c r="F424" i="20"/>
  <c r="F423" i="20" s="1"/>
  <c r="E6" i="22"/>
  <c r="C6" i="22"/>
  <c r="F6" i="22" s="1"/>
  <c r="E8" i="22"/>
  <c r="E7" i="22"/>
  <c r="G423" i="20" l="1"/>
  <c r="G424" i="20"/>
  <c r="E498" i="20"/>
  <c r="G524" i="20"/>
  <c r="G523" i="20"/>
  <c r="G521" i="20"/>
  <c r="G520" i="20"/>
  <c r="G519" i="20"/>
  <c r="G518" i="20"/>
  <c r="G515" i="20"/>
  <c r="G514" i="20"/>
  <c r="G512" i="20"/>
  <c r="G511" i="20"/>
  <c r="G509" i="20"/>
  <c r="G508" i="20"/>
  <c r="F522" i="20"/>
  <c r="F517" i="20"/>
  <c r="F510" i="20"/>
  <c r="F507" i="20"/>
  <c r="E522" i="20"/>
  <c r="E517" i="20"/>
  <c r="E513" i="20"/>
  <c r="E510" i="20"/>
  <c r="E507" i="20"/>
  <c r="G501" i="20"/>
  <c r="G440" i="20"/>
  <c r="F439" i="20"/>
  <c r="E439" i="20"/>
  <c r="E438" i="20" s="1"/>
  <c r="E437" i="20" s="1"/>
  <c r="E436" i="20" s="1"/>
  <c r="F402" i="20"/>
  <c r="F401" i="20" s="1"/>
  <c r="F400" i="20" s="1"/>
  <c r="F399" i="20" s="1"/>
  <c r="E352" i="20"/>
  <c r="G318" i="20"/>
  <c r="E317" i="20"/>
  <c r="G310" i="20"/>
  <c r="F309" i="20"/>
  <c r="E309" i="20"/>
  <c r="E274" i="20"/>
  <c r="G279" i="20"/>
  <c r="F278" i="20"/>
  <c r="E278" i="20"/>
  <c r="E277" i="20" s="1"/>
  <c r="G276" i="20"/>
  <c r="G229" i="20"/>
  <c r="F228" i="20"/>
  <c r="E228" i="20"/>
  <c r="F197" i="20"/>
  <c r="E197" i="20"/>
  <c r="F190" i="20"/>
  <c r="E190" i="20"/>
  <c r="E140" i="20"/>
  <c r="C28" i="15"/>
  <c r="C90" i="16"/>
  <c r="C89" i="16"/>
  <c r="C88" i="16"/>
  <c r="C87" i="16"/>
  <c r="C81" i="16"/>
  <c r="C80" i="16" s="1"/>
  <c r="C79" i="16" s="1"/>
  <c r="C78" i="16"/>
  <c r="C72" i="16"/>
  <c r="C70" i="16"/>
  <c r="C69" i="16"/>
  <c r="C68" i="16"/>
  <c r="C24" i="16"/>
  <c r="C30" i="16"/>
  <c r="C61" i="16"/>
  <c r="C58" i="16"/>
  <c r="C55" i="16"/>
  <c r="C50" i="16"/>
  <c r="C49" i="16"/>
  <c r="C46" i="16"/>
  <c r="C45" i="16"/>
  <c r="C44" i="16"/>
  <c r="C43" i="16"/>
  <c r="C41" i="16"/>
  <c r="C37" i="16"/>
  <c r="C36" i="16"/>
  <c r="C35" i="16"/>
  <c r="C34" i="16"/>
  <c r="C33" i="16"/>
  <c r="C32" i="16"/>
  <c r="C31" i="16"/>
  <c r="C29" i="16"/>
  <c r="C27" i="16"/>
  <c r="C26" i="16"/>
  <c r="C25" i="16"/>
  <c r="C23" i="16"/>
  <c r="C22" i="16"/>
  <c r="C19" i="16"/>
  <c r="C18" i="16"/>
  <c r="C17" i="16"/>
  <c r="C14" i="16"/>
  <c r="C13" i="16"/>
  <c r="C11" i="16"/>
  <c r="C9" i="16"/>
  <c r="C8" i="16"/>
  <c r="C7" i="16"/>
  <c r="C54" i="12"/>
  <c r="E516" i="20" l="1"/>
  <c r="F516" i="20"/>
  <c r="F506" i="20"/>
  <c r="G513" i="20"/>
  <c r="G522" i="20"/>
  <c r="E506" i="20"/>
  <c r="G517" i="20"/>
  <c r="G507" i="20"/>
  <c r="G510" i="20"/>
  <c r="G439" i="20"/>
  <c r="F438" i="20"/>
  <c r="G309" i="20"/>
  <c r="G278" i="20"/>
  <c r="F277" i="20"/>
  <c r="G277" i="20" s="1"/>
  <c r="G228" i="20"/>
  <c r="C57" i="12"/>
  <c r="C52" i="12"/>
  <c r="C43" i="12"/>
  <c r="C33" i="12"/>
  <c r="C32" i="12"/>
  <c r="C28" i="12"/>
  <c r="C26" i="12"/>
  <c r="C25" i="12"/>
  <c r="C22" i="12"/>
  <c r="C17" i="12"/>
  <c r="C12" i="12"/>
  <c r="C10" i="12"/>
  <c r="C9" i="12"/>
  <c r="E505" i="20" l="1"/>
  <c r="E504" i="20" s="1"/>
  <c r="E502" i="20" s="1"/>
  <c r="F505" i="20"/>
  <c r="F504" i="20" s="1"/>
  <c r="G516" i="20"/>
  <c r="G506" i="20"/>
  <c r="G438" i="20"/>
  <c r="F437" i="20"/>
  <c r="F14" i="12"/>
  <c r="E13" i="12"/>
  <c r="C13" i="12"/>
  <c r="E80" i="16"/>
  <c r="E79" i="16" s="1"/>
  <c r="F81" i="16"/>
  <c r="E542" i="20"/>
  <c r="F541" i="20"/>
  <c r="G541" i="20" s="1"/>
  <c r="F540" i="20"/>
  <c r="G540" i="20" s="1"/>
  <c r="F539" i="20"/>
  <c r="G539" i="20" s="1"/>
  <c r="F538" i="20"/>
  <c r="G538" i="20" s="1"/>
  <c r="F537" i="20"/>
  <c r="G537" i="20" s="1"/>
  <c r="G536" i="20"/>
  <c r="F535" i="20"/>
  <c r="G535" i="20" s="1"/>
  <c r="F534" i="20"/>
  <c r="G534" i="20" s="1"/>
  <c r="F533" i="20"/>
  <c r="G533" i="20" s="1"/>
  <c r="F532" i="20"/>
  <c r="G532" i="20" s="1"/>
  <c r="F531" i="20"/>
  <c r="G530" i="20"/>
  <c r="G500" i="20"/>
  <c r="G499" i="20"/>
  <c r="G496" i="20"/>
  <c r="G495" i="20"/>
  <c r="F494" i="20"/>
  <c r="E494" i="20"/>
  <c r="G493" i="20"/>
  <c r="G492" i="20"/>
  <c r="F491" i="20"/>
  <c r="E491" i="20"/>
  <c r="G490" i="20"/>
  <c r="G489" i="20"/>
  <c r="F488" i="20"/>
  <c r="E488" i="20"/>
  <c r="G482" i="20"/>
  <c r="F481" i="20"/>
  <c r="E481" i="20"/>
  <c r="E480" i="20" s="1"/>
  <c r="E479" i="20" s="1"/>
  <c r="G478" i="20"/>
  <c r="F477" i="20"/>
  <c r="F476" i="20" s="1"/>
  <c r="F475" i="20" s="1"/>
  <c r="E477" i="20"/>
  <c r="G473" i="20"/>
  <c r="G472" i="20"/>
  <c r="F471" i="20"/>
  <c r="E471" i="20"/>
  <c r="E470" i="20" s="1"/>
  <c r="E469" i="20" s="1"/>
  <c r="E468" i="20" s="1"/>
  <c r="G467" i="20"/>
  <c r="G466" i="20"/>
  <c r="F465" i="20"/>
  <c r="E465" i="20"/>
  <c r="G464" i="20"/>
  <c r="G462" i="20"/>
  <c r="G461" i="20"/>
  <c r="G460" i="20"/>
  <c r="G459" i="20"/>
  <c r="G458" i="20"/>
  <c r="G457" i="20"/>
  <c r="G456" i="20"/>
  <c r="G455" i="20"/>
  <c r="G454" i="20"/>
  <c r="G453" i="20"/>
  <c r="F452" i="20"/>
  <c r="E452" i="20"/>
  <c r="G446" i="20"/>
  <c r="F444" i="20"/>
  <c r="F443" i="20" s="1"/>
  <c r="E444" i="20"/>
  <c r="E443" i="20" s="1"/>
  <c r="E442" i="20" s="1"/>
  <c r="E441" i="20" s="1"/>
  <c r="E434" i="20" s="1"/>
  <c r="G432" i="20"/>
  <c r="F430" i="20"/>
  <c r="E431" i="20"/>
  <c r="F419" i="20"/>
  <c r="E419" i="20"/>
  <c r="E418" i="20" s="1"/>
  <c r="E417" i="20" s="1"/>
  <c r="G416" i="20"/>
  <c r="G415" i="20"/>
  <c r="F414" i="20"/>
  <c r="E414" i="20"/>
  <c r="E413" i="20" s="1"/>
  <c r="E412" i="20" s="1"/>
  <c r="E411" i="20" s="1"/>
  <c r="G408" i="20"/>
  <c r="F407" i="20"/>
  <c r="E407" i="20"/>
  <c r="E406" i="20" s="1"/>
  <c r="E405" i="20" s="1"/>
  <c r="E404" i="20" s="1"/>
  <c r="G403" i="20"/>
  <c r="E402" i="20"/>
  <c r="E401" i="20" s="1"/>
  <c r="E400" i="20" s="1"/>
  <c r="E399" i="20" s="1"/>
  <c r="G398" i="20"/>
  <c r="F397" i="20"/>
  <c r="E397" i="20"/>
  <c r="E396" i="20" s="1"/>
  <c r="E395" i="20" s="1"/>
  <c r="E394" i="20" s="1"/>
  <c r="G393" i="20"/>
  <c r="F392" i="20"/>
  <c r="E392" i="20"/>
  <c r="G391" i="20"/>
  <c r="F390" i="20"/>
  <c r="E390" i="20"/>
  <c r="G384" i="20"/>
  <c r="F383" i="20"/>
  <c r="F382" i="20" s="1"/>
  <c r="E383" i="20"/>
  <c r="G379" i="20"/>
  <c r="F378" i="20"/>
  <c r="F377" i="20" s="1"/>
  <c r="E378" i="20"/>
  <c r="E377" i="20" s="1"/>
  <c r="E376" i="20" s="1"/>
  <c r="E375" i="20" s="1"/>
  <c r="G374" i="20"/>
  <c r="F373" i="20"/>
  <c r="F372" i="20" s="1"/>
  <c r="F371" i="20" s="1"/>
  <c r="E373" i="20"/>
  <c r="G370" i="20"/>
  <c r="G369" i="20"/>
  <c r="F368" i="20"/>
  <c r="E368" i="20"/>
  <c r="G367" i="20"/>
  <c r="F366" i="20"/>
  <c r="E366" i="20"/>
  <c r="G362" i="20"/>
  <c r="F361" i="20"/>
  <c r="E361" i="20"/>
  <c r="G360" i="20"/>
  <c r="E358" i="20"/>
  <c r="G354" i="20"/>
  <c r="G353" i="20"/>
  <c r="F352" i="20"/>
  <c r="F351" i="20" s="1"/>
  <c r="E351" i="20"/>
  <c r="E350" i="20" s="1"/>
  <c r="E349" i="20" s="1"/>
  <c r="G348" i="20"/>
  <c r="F347" i="20"/>
  <c r="E347" i="20"/>
  <c r="E346" i="20" s="1"/>
  <c r="E345" i="20" s="1"/>
  <c r="E344" i="20" s="1"/>
  <c r="G343" i="20"/>
  <c r="F342" i="20"/>
  <c r="F341" i="20" s="1"/>
  <c r="F340" i="20" s="1"/>
  <c r="E342" i="20"/>
  <c r="E341" i="20" s="1"/>
  <c r="E340" i="20" s="1"/>
  <c r="G339" i="20"/>
  <c r="F338" i="20"/>
  <c r="F337" i="20" s="1"/>
  <c r="E338" i="20"/>
  <c r="G336" i="20"/>
  <c r="F335" i="20"/>
  <c r="E335" i="20"/>
  <c r="G334" i="20"/>
  <c r="G333" i="20"/>
  <c r="G332" i="20"/>
  <c r="G331" i="20"/>
  <c r="F330" i="20"/>
  <c r="E330" i="20"/>
  <c r="G329" i="20"/>
  <c r="G328" i="20"/>
  <c r="G327" i="20"/>
  <c r="G326" i="20"/>
  <c r="G325" i="20"/>
  <c r="G324" i="20"/>
  <c r="F323" i="20"/>
  <c r="E323" i="20"/>
  <c r="G319" i="20"/>
  <c r="F317" i="20"/>
  <c r="G316" i="20"/>
  <c r="G315" i="20"/>
  <c r="F314" i="20"/>
  <c r="E314" i="20"/>
  <c r="G312" i="20"/>
  <c r="F311" i="20"/>
  <c r="E311" i="20"/>
  <c r="G308" i="20"/>
  <c r="F307" i="20"/>
  <c r="E307" i="20"/>
  <c r="G303" i="20"/>
  <c r="G302" i="20"/>
  <c r="F301" i="20"/>
  <c r="F300" i="20" s="1"/>
  <c r="E301" i="20"/>
  <c r="E300" i="20" s="1"/>
  <c r="E299" i="20" s="1"/>
  <c r="E298" i="20" s="1"/>
  <c r="G297" i="20"/>
  <c r="G296" i="20"/>
  <c r="F295" i="20"/>
  <c r="F294" i="20" s="1"/>
  <c r="E295" i="20"/>
  <c r="E294" i="20" s="1"/>
  <c r="E293" i="20" s="1"/>
  <c r="G292" i="20"/>
  <c r="F291" i="20"/>
  <c r="F290" i="20" s="1"/>
  <c r="E291" i="20"/>
  <c r="E290" i="20" s="1"/>
  <c r="G289" i="20"/>
  <c r="G288" i="20"/>
  <c r="F287" i="20"/>
  <c r="E287" i="20"/>
  <c r="G286" i="20"/>
  <c r="F285" i="20"/>
  <c r="E285" i="20"/>
  <c r="G284" i="20"/>
  <c r="F283" i="20"/>
  <c r="E283" i="20"/>
  <c r="G275" i="20"/>
  <c r="F274" i="20"/>
  <c r="G273" i="20"/>
  <c r="F272" i="20"/>
  <c r="E272" i="20"/>
  <c r="G271" i="20"/>
  <c r="F270" i="20"/>
  <c r="E270" i="20"/>
  <c r="G266" i="20"/>
  <c r="G265" i="20"/>
  <c r="F264" i="20"/>
  <c r="F263" i="20" s="1"/>
  <c r="F262" i="20" s="1"/>
  <c r="E264" i="20"/>
  <c r="G261" i="20"/>
  <c r="F260" i="20"/>
  <c r="E260" i="20"/>
  <c r="G259" i="20"/>
  <c r="G258" i="20"/>
  <c r="G257" i="20"/>
  <c r="G256" i="20"/>
  <c r="G255" i="20"/>
  <c r="G254" i="20"/>
  <c r="G253" i="20"/>
  <c r="G252" i="20"/>
  <c r="G251" i="20"/>
  <c r="G250" i="20"/>
  <c r="G249" i="20"/>
  <c r="G248" i="20"/>
  <c r="G247" i="20"/>
  <c r="F246" i="20"/>
  <c r="E246" i="20"/>
  <c r="G245" i="20"/>
  <c r="G244" i="20"/>
  <c r="G242" i="20"/>
  <c r="G241" i="20"/>
  <c r="G240" i="20"/>
  <c r="G239" i="20"/>
  <c r="G238" i="20"/>
  <c r="F237" i="20"/>
  <c r="E237" i="20"/>
  <c r="G236" i="20"/>
  <c r="F235" i="20"/>
  <c r="E235" i="20"/>
  <c r="G233" i="20"/>
  <c r="G232" i="20"/>
  <c r="G231" i="20"/>
  <c r="F230" i="20"/>
  <c r="E230" i="20"/>
  <c r="G227" i="20"/>
  <c r="G226" i="20"/>
  <c r="G225" i="20"/>
  <c r="F224" i="20"/>
  <c r="E224" i="20"/>
  <c r="G220" i="20"/>
  <c r="F219" i="20"/>
  <c r="F218" i="20" s="1"/>
  <c r="E219" i="20"/>
  <c r="G217" i="20"/>
  <c r="G216" i="20"/>
  <c r="G214" i="20"/>
  <c r="G213" i="20"/>
  <c r="F212" i="20"/>
  <c r="E212" i="20"/>
  <c r="G211" i="20"/>
  <c r="G208" i="20"/>
  <c r="G207" i="20"/>
  <c r="F206" i="20"/>
  <c r="E206" i="20"/>
  <c r="G205" i="20"/>
  <c r="G204" i="20"/>
  <c r="G203" i="20"/>
  <c r="F202" i="20"/>
  <c r="E202" i="20"/>
  <c r="G199" i="20"/>
  <c r="G198" i="20"/>
  <c r="G196" i="20"/>
  <c r="G195" i="20"/>
  <c r="F194" i="20"/>
  <c r="E194" i="20"/>
  <c r="G192" i="20"/>
  <c r="G191" i="20"/>
  <c r="G186" i="20"/>
  <c r="F185" i="20"/>
  <c r="E185" i="20"/>
  <c r="E184" i="20" s="1"/>
  <c r="E183" i="20" s="1"/>
  <c r="G182" i="20"/>
  <c r="F181" i="20"/>
  <c r="E181" i="20"/>
  <c r="E180" i="20" s="1"/>
  <c r="G179" i="20"/>
  <c r="G178" i="20"/>
  <c r="G177" i="20"/>
  <c r="G176" i="20"/>
  <c r="G175" i="20"/>
  <c r="G174" i="20"/>
  <c r="F173" i="20"/>
  <c r="E173" i="20"/>
  <c r="G172" i="20"/>
  <c r="G171" i="20"/>
  <c r="G170" i="20"/>
  <c r="G169" i="20"/>
  <c r="G168" i="20"/>
  <c r="G167" i="20"/>
  <c r="G166" i="20"/>
  <c r="F165" i="20"/>
  <c r="E165" i="20"/>
  <c r="G161" i="20"/>
  <c r="F158" i="20"/>
  <c r="E159" i="20"/>
  <c r="E158" i="20" s="1"/>
  <c r="G157" i="20"/>
  <c r="F156" i="20"/>
  <c r="E156" i="20"/>
  <c r="G155" i="20"/>
  <c r="F154" i="20"/>
  <c r="E154" i="20"/>
  <c r="G153" i="20"/>
  <c r="F152" i="20"/>
  <c r="E152" i="20"/>
  <c r="G148" i="20"/>
  <c r="F147" i="20"/>
  <c r="F146" i="20" s="1"/>
  <c r="E147" i="20"/>
  <c r="E146" i="20" s="1"/>
  <c r="G145" i="20"/>
  <c r="F144" i="20"/>
  <c r="E144" i="20"/>
  <c r="E143" i="20" s="1"/>
  <c r="G142" i="20"/>
  <c r="G141" i="20"/>
  <c r="F140" i="20"/>
  <c r="G139" i="20"/>
  <c r="G138" i="20"/>
  <c r="F137" i="20"/>
  <c r="E137" i="20"/>
  <c r="G136" i="20"/>
  <c r="F135" i="20"/>
  <c r="E135" i="20"/>
  <c r="G133" i="20"/>
  <c r="F132" i="20"/>
  <c r="E132" i="20"/>
  <c r="G131" i="20"/>
  <c r="F130" i="20"/>
  <c r="E130" i="20"/>
  <c r="G129" i="20"/>
  <c r="F128" i="20"/>
  <c r="E128" i="20"/>
  <c r="G122" i="20"/>
  <c r="F121" i="20"/>
  <c r="E121" i="20"/>
  <c r="E120" i="20" s="1"/>
  <c r="G119" i="20"/>
  <c r="F118" i="20"/>
  <c r="E118" i="20"/>
  <c r="G117" i="20"/>
  <c r="G116" i="20"/>
  <c r="F115" i="20"/>
  <c r="E115" i="20"/>
  <c r="G114" i="20"/>
  <c r="G113" i="20"/>
  <c r="F112" i="20"/>
  <c r="E112" i="20"/>
  <c r="E111" i="20" s="1"/>
  <c r="G106" i="20"/>
  <c r="F105" i="20"/>
  <c r="F104" i="20" s="1"/>
  <c r="E105" i="20"/>
  <c r="E104" i="20" s="1"/>
  <c r="G103" i="20"/>
  <c r="G102" i="20"/>
  <c r="F101" i="20"/>
  <c r="E101" i="20"/>
  <c r="G100" i="20"/>
  <c r="G99" i="20"/>
  <c r="F98" i="20"/>
  <c r="E98" i="20"/>
  <c r="G97" i="20"/>
  <c r="F96" i="20"/>
  <c r="E96" i="20"/>
  <c r="G94" i="20"/>
  <c r="G93" i="20"/>
  <c r="F92" i="20"/>
  <c r="E92" i="20"/>
  <c r="G91" i="20"/>
  <c r="F90" i="20"/>
  <c r="E90" i="20"/>
  <c r="G89" i="20"/>
  <c r="F88" i="20"/>
  <c r="E88" i="20"/>
  <c r="G84" i="20"/>
  <c r="F83" i="20"/>
  <c r="F82" i="20" s="1"/>
  <c r="E83" i="20"/>
  <c r="E82" i="20" s="1"/>
  <c r="G81" i="20"/>
  <c r="G79" i="20"/>
  <c r="G78" i="20"/>
  <c r="F77" i="20"/>
  <c r="E77" i="20"/>
  <c r="G76" i="20"/>
  <c r="F75" i="20"/>
  <c r="E75" i="20"/>
  <c r="G74" i="20"/>
  <c r="G73" i="20"/>
  <c r="G72" i="20"/>
  <c r="G71" i="20"/>
  <c r="G70" i="20"/>
  <c r="G69" i="20"/>
  <c r="G68" i="20"/>
  <c r="F67" i="20"/>
  <c r="E67" i="20"/>
  <c r="G66" i="20"/>
  <c r="G65" i="20"/>
  <c r="G64" i="20"/>
  <c r="G63" i="20"/>
  <c r="G62" i="20"/>
  <c r="F61" i="20"/>
  <c r="E61" i="20"/>
  <c r="G60" i="20"/>
  <c r="G59" i="20"/>
  <c r="F58" i="20"/>
  <c r="E58" i="20"/>
  <c r="G54" i="20"/>
  <c r="F53" i="20"/>
  <c r="E53" i="20"/>
  <c r="E52" i="20" s="1"/>
  <c r="G51" i="20"/>
  <c r="G50" i="20"/>
  <c r="F49" i="20"/>
  <c r="E49" i="20"/>
  <c r="G48" i="20"/>
  <c r="F47" i="20"/>
  <c r="E47" i="20"/>
  <c r="G43" i="20"/>
  <c r="F42" i="20"/>
  <c r="E42" i="20"/>
  <c r="E41" i="20" s="1"/>
  <c r="G40" i="20"/>
  <c r="G39" i="20"/>
  <c r="G38" i="20"/>
  <c r="G37" i="20"/>
  <c r="F36" i="20"/>
  <c r="E36" i="20"/>
  <c r="G35" i="20"/>
  <c r="F34" i="20"/>
  <c r="E34" i="20"/>
  <c r="G33" i="20"/>
  <c r="G32" i="20"/>
  <c r="G31" i="20"/>
  <c r="G30" i="20"/>
  <c r="G29" i="20"/>
  <c r="G28" i="20"/>
  <c r="G27" i="20"/>
  <c r="G26" i="20"/>
  <c r="G25" i="20"/>
  <c r="F24" i="20"/>
  <c r="E24" i="20"/>
  <c r="G23" i="20"/>
  <c r="G22" i="20"/>
  <c r="G21" i="20"/>
  <c r="G20" i="20"/>
  <c r="G19" i="20"/>
  <c r="G18" i="20"/>
  <c r="F17" i="20"/>
  <c r="E17" i="20"/>
  <c r="G16" i="20"/>
  <c r="G15" i="20"/>
  <c r="G14" i="20"/>
  <c r="F13" i="20"/>
  <c r="E13" i="20"/>
  <c r="F487" i="20" l="1"/>
  <c r="G505" i="20"/>
  <c r="F13" i="12"/>
  <c r="F223" i="20"/>
  <c r="F306" i="20"/>
  <c r="F502" i="20"/>
  <c r="G502" i="20" s="1"/>
  <c r="G504" i="20"/>
  <c r="G437" i="20"/>
  <c r="F436" i="20"/>
  <c r="E313" i="20"/>
  <c r="E306" i="20"/>
  <c r="F111" i="20"/>
  <c r="G111" i="20" s="1"/>
  <c r="E234" i="20"/>
  <c r="E223" i="20"/>
  <c r="G194" i="20"/>
  <c r="G237" i="20"/>
  <c r="G287" i="20"/>
  <c r="G330" i="20"/>
  <c r="F282" i="20"/>
  <c r="F281" i="20" s="1"/>
  <c r="G311" i="20"/>
  <c r="G92" i="20"/>
  <c r="G42" i="20"/>
  <c r="E87" i="20"/>
  <c r="G90" i="20"/>
  <c r="G135" i="20"/>
  <c r="E151" i="20"/>
  <c r="E150" i="20" s="1"/>
  <c r="E149" i="20" s="1"/>
  <c r="E46" i="20"/>
  <c r="E45" i="20" s="1"/>
  <c r="E44" i="20" s="1"/>
  <c r="E164" i="20"/>
  <c r="E163" i="20" s="1"/>
  <c r="E162" i="20" s="1"/>
  <c r="F41" i="20"/>
  <c r="G41" i="20" s="1"/>
  <c r="G88" i="20"/>
  <c r="E282" i="20"/>
  <c r="E281" i="20" s="1"/>
  <c r="E280" i="20" s="1"/>
  <c r="F87" i="20"/>
  <c r="F189" i="20"/>
  <c r="G301" i="20"/>
  <c r="E95" i="20"/>
  <c r="G98" i="20"/>
  <c r="F365" i="20"/>
  <c r="F364" i="20" s="1"/>
  <c r="F363" i="20" s="1"/>
  <c r="E389" i="20"/>
  <c r="E388" i="20" s="1"/>
  <c r="E387" i="20" s="1"/>
  <c r="E385" i="20" s="1"/>
  <c r="G392" i="20"/>
  <c r="G494" i="20"/>
  <c r="G13" i="20"/>
  <c r="E12" i="20"/>
  <c r="E11" i="20" s="1"/>
  <c r="E10" i="20" s="1"/>
  <c r="G24" i="20"/>
  <c r="E134" i="20"/>
  <c r="G137" i="20"/>
  <c r="G156" i="20"/>
  <c r="G173" i="20"/>
  <c r="G181" i="20"/>
  <c r="G212" i="20"/>
  <c r="G285" i="20"/>
  <c r="G290" i="20"/>
  <c r="G314" i="20"/>
  <c r="G317" i="20"/>
  <c r="E357" i="20"/>
  <c r="E356" i="20" s="1"/>
  <c r="E355" i="20" s="1"/>
  <c r="G361" i="20"/>
  <c r="F389" i="20"/>
  <c r="F388" i="20" s="1"/>
  <c r="F451" i="20"/>
  <c r="F450" i="20" s="1"/>
  <c r="G465" i="20"/>
  <c r="G146" i="20"/>
  <c r="G291" i="20"/>
  <c r="G307" i="20"/>
  <c r="G347" i="20"/>
  <c r="F357" i="20"/>
  <c r="F356" i="20" s="1"/>
  <c r="G36" i="20"/>
  <c r="G61" i="20"/>
  <c r="G75" i="20"/>
  <c r="G82" i="20"/>
  <c r="E127" i="20"/>
  <c r="G130" i="20"/>
  <c r="G140" i="20"/>
  <c r="E201" i="20"/>
  <c r="G368" i="20"/>
  <c r="G402" i="20"/>
  <c r="E57" i="20"/>
  <c r="E56" i="20" s="1"/>
  <c r="E55" i="20" s="1"/>
  <c r="G67" i="20"/>
  <c r="G96" i="20"/>
  <c r="G104" i="20"/>
  <c r="F95" i="20"/>
  <c r="E110" i="20"/>
  <c r="E109" i="20" s="1"/>
  <c r="E107" i="20" s="1"/>
  <c r="G118" i="20"/>
  <c r="G158" i="20"/>
  <c r="F201" i="20"/>
  <c r="G206" i="20"/>
  <c r="G283" i="20"/>
  <c r="F180" i="20"/>
  <c r="G180" i="20" s="1"/>
  <c r="G224" i="20"/>
  <c r="G295" i="20"/>
  <c r="G358" i="20"/>
  <c r="G112" i="20"/>
  <c r="G260" i="20"/>
  <c r="G274" i="20"/>
  <c r="F313" i="20"/>
  <c r="G342" i="20"/>
  <c r="G366" i="20"/>
  <c r="G390" i="20"/>
  <c r="G444" i="20"/>
  <c r="G452" i="20"/>
  <c r="G491" i="20"/>
  <c r="F542" i="20"/>
  <c r="G542" i="20" s="1"/>
  <c r="G115" i="20"/>
  <c r="G147" i="20"/>
  <c r="G34" i="20"/>
  <c r="G77" i="20"/>
  <c r="G101" i="20"/>
  <c r="F234" i="20"/>
  <c r="E269" i="20"/>
  <c r="G272" i="20"/>
  <c r="F346" i="20"/>
  <c r="G531" i="20"/>
  <c r="F376" i="20"/>
  <c r="G377" i="20"/>
  <c r="F418" i="20"/>
  <c r="F417" i="20" s="1"/>
  <c r="G419" i="20"/>
  <c r="G185" i="20"/>
  <c r="F184" i="20"/>
  <c r="G351" i="20"/>
  <c r="F350" i="20"/>
  <c r="G414" i="20"/>
  <c r="F413" i="20"/>
  <c r="F12" i="20"/>
  <c r="G49" i="20"/>
  <c r="F46" i="20"/>
  <c r="G105" i="20"/>
  <c r="F134" i="20"/>
  <c r="G144" i="20"/>
  <c r="F143" i="20"/>
  <c r="G143" i="20" s="1"/>
  <c r="G154" i="20"/>
  <c r="G165" i="20"/>
  <c r="F164" i="20"/>
  <c r="G202" i="20"/>
  <c r="G246" i="20"/>
  <c r="G270" i="20"/>
  <c r="F269" i="20"/>
  <c r="G338" i="20"/>
  <c r="E337" i="20"/>
  <c r="G337" i="20" s="1"/>
  <c r="G340" i="20"/>
  <c r="G352" i="20"/>
  <c r="G378" i="20"/>
  <c r="F381" i="20"/>
  <c r="G407" i="20"/>
  <c r="F406" i="20"/>
  <c r="G420" i="20"/>
  <c r="F429" i="20"/>
  <c r="G443" i="20"/>
  <c r="F442" i="20"/>
  <c r="E451" i="20"/>
  <c r="E450" i="20" s="1"/>
  <c r="E449" i="20" s="1"/>
  <c r="G17" i="20"/>
  <c r="G47" i="20"/>
  <c r="F57" i="20"/>
  <c r="G58" i="20"/>
  <c r="G132" i="20"/>
  <c r="G152" i="20"/>
  <c r="F151" i="20"/>
  <c r="G159" i="20"/>
  <c r="G197" i="20"/>
  <c r="G230" i="20"/>
  <c r="F299" i="20"/>
  <c r="G300" i="20"/>
  <c r="G335" i="20"/>
  <c r="G341" i="20"/>
  <c r="G383" i="20"/>
  <c r="E382" i="20"/>
  <c r="E381" i="20" s="1"/>
  <c r="E380" i="20" s="1"/>
  <c r="G431" i="20"/>
  <c r="E430" i="20"/>
  <c r="E429" i="20" s="1"/>
  <c r="E428" i="20" s="1"/>
  <c r="E409" i="20" s="1"/>
  <c r="E476" i="20"/>
  <c r="G477" i="20"/>
  <c r="G128" i="20"/>
  <c r="F127" i="20"/>
  <c r="E372" i="20"/>
  <c r="E365" i="20"/>
  <c r="G373" i="20"/>
  <c r="F480" i="20"/>
  <c r="G481" i="20"/>
  <c r="G53" i="20"/>
  <c r="F52" i="20"/>
  <c r="G52" i="20" s="1"/>
  <c r="G83" i="20"/>
  <c r="G121" i="20"/>
  <c r="F120" i="20"/>
  <c r="G120" i="20" s="1"/>
  <c r="G190" i="20"/>
  <c r="E189" i="20"/>
  <c r="G219" i="20"/>
  <c r="E218" i="20"/>
  <c r="G218" i="20" s="1"/>
  <c r="G235" i="20"/>
  <c r="G264" i="20"/>
  <c r="E263" i="20"/>
  <c r="G294" i="20"/>
  <c r="F293" i="20"/>
  <c r="G293" i="20" s="1"/>
  <c r="E322" i="20"/>
  <c r="G401" i="20"/>
  <c r="F470" i="20"/>
  <c r="G471" i="20"/>
  <c r="G488" i="20"/>
  <c r="E487" i="20"/>
  <c r="G487" i="20" s="1"/>
  <c r="G323" i="20"/>
  <c r="F322" i="20"/>
  <c r="G397" i="20"/>
  <c r="F396" i="20"/>
  <c r="F80" i="16"/>
  <c r="F79" i="16"/>
  <c r="G79" i="16"/>
  <c r="C91" i="16"/>
  <c r="C73" i="16"/>
  <c r="C41" i="12"/>
  <c r="C36" i="12"/>
  <c r="G436" i="20" l="1"/>
  <c r="E305" i="20"/>
  <c r="E304" i="20" s="1"/>
  <c r="G313" i="20"/>
  <c r="E268" i="20"/>
  <c r="E267" i="20" s="1"/>
  <c r="G306" i="20"/>
  <c r="F222" i="20"/>
  <c r="F221" i="20" s="1"/>
  <c r="G223" i="20"/>
  <c r="G134" i="20"/>
  <c r="G281" i="20"/>
  <c r="G357" i="20"/>
  <c r="F86" i="20"/>
  <c r="F85" i="20" s="1"/>
  <c r="E86" i="20"/>
  <c r="E85" i="20" s="1"/>
  <c r="E8" i="20" s="1"/>
  <c r="F188" i="20"/>
  <c r="F187" i="20" s="1"/>
  <c r="G282" i="20"/>
  <c r="G87" i="20"/>
  <c r="G389" i="20"/>
  <c r="G201" i="20"/>
  <c r="G95" i="20"/>
  <c r="E126" i="20"/>
  <c r="E125" i="20" s="1"/>
  <c r="F305" i="20"/>
  <c r="G430" i="20"/>
  <c r="G234" i="20"/>
  <c r="E188" i="20"/>
  <c r="E187" i="20" s="1"/>
  <c r="F345" i="20"/>
  <c r="G346" i="20"/>
  <c r="E321" i="20"/>
  <c r="E320" i="20" s="1"/>
  <c r="F110" i="20"/>
  <c r="F109" i="20" s="1"/>
  <c r="F298" i="20"/>
  <c r="G298" i="20" s="1"/>
  <c r="G299" i="20"/>
  <c r="G151" i="20"/>
  <c r="F150" i="20"/>
  <c r="G46" i="20"/>
  <c r="F45" i="20"/>
  <c r="G413" i="20"/>
  <c r="F412" i="20"/>
  <c r="F395" i="20"/>
  <c r="G396" i="20"/>
  <c r="G57" i="20"/>
  <c r="F56" i="20"/>
  <c r="G164" i="20"/>
  <c r="F163" i="20"/>
  <c r="F280" i="20"/>
  <c r="G280" i="20" s="1"/>
  <c r="G184" i="20"/>
  <c r="F183" i="20"/>
  <c r="G183" i="20" s="1"/>
  <c r="G476" i="20"/>
  <c r="E475" i="20"/>
  <c r="G406" i="20"/>
  <c r="F405" i="20"/>
  <c r="F380" i="20"/>
  <c r="G380" i="20" s="1"/>
  <c r="G381" i="20"/>
  <c r="F349" i="20"/>
  <c r="G349" i="20" s="1"/>
  <c r="G350" i="20"/>
  <c r="E222" i="20"/>
  <c r="G376" i="20"/>
  <c r="F375" i="20"/>
  <c r="G375" i="20" s="1"/>
  <c r="F449" i="20"/>
  <c r="G450" i="20"/>
  <c r="G365" i="20"/>
  <c r="E364" i="20"/>
  <c r="G127" i="20"/>
  <c r="F126" i="20"/>
  <c r="G388" i="20"/>
  <c r="F387" i="20"/>
  <c r="G451" i="20"/>
  <c r="G356" i="20"/>
  <c r="F355" i="20"/>
  <c r="G355" i="20" s="1"/>
  <c r="G480" i="20"/>
  <c r="F479" i="20"/>
  <c r="G372" i="20"/>
  <c r="E371" i="20"/>
  <c r="G371" i="20" s="1"/>
  <c r="G442" i="20"/>
  <c r="F441" i="20"/>
  <c r="F434" i="20" s="1"/>
  <c r="G269" i="20"/>
  <c r="F268" i="20"/>
  <c r="G322" i="20"/>
  <c r="F321" i="20"/>
  <c r="G470" i="20"/>
  <c r="F469" i="20"/>
  <c r="G400" i="20"/>
  <c r="G399" i="20"/>
  <c r="E262" i="20"/>
  <c r="G262" i="20" s="1"/>
  <c r="G263" i="20"/>
  <c r="F428" i="20"/>
  <c r="G428" i="20" s="1"/>
  <c r="G429" i="20"/>
  <c r="G382" i="20"/>
  <c r="F11" i="20"/>
  <c r="G12" i="20"/>
  <c r="G418" i="20"/>
  <c r="G417" i="20"/>
  <c r="G189" i="20"/>
  <c r="E45" i="12"/>
  <c r="G45" i="12" s="1"/>
  <c r="C45" i="12"/>
  <c r="C44" i="12" s="1"/>
  <c r="E58" i="12"/>
  <c r="D58" i="12"/>
  <c r="G57" i="12"/>
  <c r="F57" i="12"/>
  <c r="G56" i="12"/>
  <c r="F56" i="12"/>
  <c r="G55" i="12"/>
  <c r="G54" i="12"/>
  <c r="F54" i="12"/>
  <c r="G53" i="12"/>
  <c r="G52" i="12"/>
  <c r="F52" i="12"/>
  <c r="E35" i="12"/>
  <c r="C35" i="12"/>
  <c r="C34" i="12" s="1"/>
  <c r="C27" i="12"/>
  <c r="E24" i="12"/>
  <c r="C24" i="12"/>
  <c r="C93" i="16"/>
  <c r="F91" i="16"/>
  <c r="G91" i="16"/>
  <c r="F92" i="16"/>
  <c r="G92" i="16"/>
  <c r="E93" i="16"/>
  <c r="D93" i="16"/>
  <c r="E6" i="16"/>
  <c r="C54" i="16"/>
  <c r="C52" i="16" s="1"/>
  <c r="F19" i="16"/>
  <c r="E27" i="12"/>
  <c r="E75" i="16"/>
  <c r="F49" i="16"/>
  <c r="E48" i="16"/>
  <c r="E47" i="16" s="1"/>
  <c r="C48" i="16"/>
  <c r="C47" i="16" s="1"/>
  <c r="F45" i="16"/>
  <c r="E12" i="16"/>
  <c r="F61" i="16"/>
  <c r="E60" i="16"/>
  <c r="C60" i="16"/>
  <c r="C59" i="16" s="1"/>
  <c r="F76" i="16"/>
  <c r="C75" i="16"/>
  <c r="G90" i="16"/>
  <c r="F90" i="16"/>
  <c r="G89" i="16"/>
  <c r="F89" i="16"/>
  <c r="G88" i="16"/>
  <c r="F88" i="16"/>
  <c r="G87" i="16"/>
  <c r="F87" i="16"/>
  <c r="F78" i="16"/>
  <c r="E77" i="16"/>
  <c r="C77" i="16"/>
  <c r="F74" i="16"/>
  <c r="F73" i="16"/>
  <c r="F72" i="16"/>
  <c r="F71" i="16"/>
  <c r="F70" i="16"/>
  <c r="F69" i="16"/>
  <c r="F68" i="16"/>
  <c r="E67" i="16"/>
  <c r="C67" i="16"/>
  <c r="F65" i="16"/>
  <c r="E64" i="16"/>
  <c r="E63" i="16" s="1"/>
  <c r="C64" i="16"/>
  <c r="D63" i="16"/>
  <c r="F58" i="16"/>
  <c r="E57" i="16"/>
  <c r="E56" i="16" s="1"/>
  <c r="C57" i="16"/>
  <c r="C56" i="16" s="1"/>
  <c r="F55" i="16"/>
  <c r="E54" i="16"/>
  <c r="D51" i="16"/>
  <c r="F53" i="16"/>
  <c r="E52" i="16"/>
  <c r="F50" i="16"/>
  <c r="F46" i="16"/>
  <c r="F44" i="16"/>
  <c r="F43" i="16"/>
  <c r="F42" i="16"/>
  <c r="F41" i="16"/>
  <c r="E40" i="16"/>
  <c r="C40" i="16"/>
  <c r="F39" i="16"/>
  <c r="E38" i="16"/>
  <c r="C38" i="16"/>
  <c r="F37" i="16"/>
  <c r="F36" i="16"/>
  <c r="F35" i="16"/>
  <c r="F34" i="16"/>
  <c r="F33" i="16"/>
  <c r="F32" i="16"/>
  <c r="F31" i="16"/>
  <c r="F30" i="16"/>
  <c r="F29" i="16"/>
  <c r="E28" i="16"/>
  <c r="C28" i="16"/>
  <c r="F27" i="16"/>
  <c r="F26" i="16"/>
  <c r="F25" i="16"/>
  <c r="F24" i="16"/>
  <c r="F23" i="16"/>
  <c r="F22" i="16"/>
  <c r="E21" i="16"/>
  <c r="C21" i="16"/>
  <c r="F20" i="16"/>
  <c r="F18" i="16"/>
  <c r="F17" i="16"/>
  <c r="E16" i="16"/>
  <c r="C16" i="16"/>
  <c r="F14" i="16"/>
  <c r="F13" i="16"/>
  <c r="C12" i="16"/>
  <c r="F11" i="16"/>
  <c r="E10" i="16"/>
  <c r="C10" i="16"/>
  <c r="F9" i="16"/>
  <c r="F8" i="16"/>
  <c r="F7" i="16"/>
  <c r="C6" i="16"/>
  <c r="F39" i="12"/>
  <c r="F41" i="12"/>
  <c r="F42" i="12"/>
  <c r="F43" i="12"/>
  <c r="E40" i="12"/>
  <c r="G40" i="12" s="1"/>
  <c r="D38" i="12"/>
  <c r="D37" i="12" s="1"/>
  <c r="E38" i="12"/>
  <c r="C40" i="12"/>
  <c r="C38" i="12"/>
  <c r="C21" i="15"/>
  <c r="D21" i="15"/>
  <c r="B21" i="15"/>
  <c r="F24" i="15"/>
  <c r="E24" i="15"/>
  <c r="F20" i="15"/>
  <c r="E20" i="15"/>
  <c r="F19" i="15"/>
  <c r="E19" i="15"/>
  <c r="E8" i="15"/>
  <c r="F8" i="15"/>
  <c r="E10" i="15"/>
  <c r="F10" i="15"/>
  <c r="E11" i="15"/>
  <c r="F11" i="15"/>
  <c r="F7" i="15"/>
  <c r="E7" i="15"/>
  <c r="B38" i="15"/>
  <c r="B35" i="15"/>
  <c r="B12" i="15"/>
  <c r="B37" i="15" s="1"/>
  <c r="B9" i="15"/>
  <c r="B33" i="15" s="1"/>
  <c r="D38" i="15"/>
  <c r="C38" i="15"/>
  <c r="D35" i="15"/>
  <c r="C35" i="15"/>
  <c r="D34" i="15"/>
  <c r="E34" i="15" s="1"/>
  <c r="C34" i="15"/>
  <c r="D28" i="15"/>
  <c r="F28" i="15" s="1"/>
  <c r="D12" i="15"/>
  <c r="C12" i="15"/>
  <c r="C37" i="15" s="1"/>
  <c r="D9" i="15"/>
  <c r="D33" i="15" s="1"/>
  <c r="C9" i="15"/>
  <c r="C33" i="15" s="1"/>
  <c r="F7" i="12"/>
  <c r="F9" i="12"/>
  <c r="F10" i="12"/>
  <c r="F12" i="12"/>
  <c r="F17" i="12"/>
  <c r="F19" i="12"/>
  <c r="F22" i="12"/>
  <c r="F26" i="12"/>
  <c r="F28" i="12"/>
  <c r="F32" i="12"/>
  <c r="F33" i="12"/>
  <c r="E31" i="12"/>
  <c r="E21" i="12"/>
  <c r="E20" i="12" s="1"/>
  <c r="G20" i="12" s="1"/>
  <c r="D15" i="12"/>
  <c r="E18" i="12"/>
  <c r="E16" i="12"/>
  <c r="E11" i="12"/>
  <c r="E8" i="12"/>
  <c r="E6" i="12"/>
  <c r="C18" i="12"/>
  <c r="C16" i="12"/>
  <c r="C11" i="12"/>
  <c r="C8" i="12"/>
  <c r="C6" i="12"/>
  <c r="C21" i="12"/>
  <c r="C20" i="12" s="1"/>
  <c r="C31" i="12"/>
  <c r="C30" i="12" s="1"/>
  <c r="F75" i="16" l="1"/>
  <c r="C15" i="12"/>
  <c r="C53" i="12" s="1"/>
  <c r="C39" i="15"/>
  <c r="F38" i="15"/>
  <c r="F21" i="15"/>
  <c r="B36" i="15"/>
  <c r="E35" i="15"/>
  <c r="B39" i="15"/>
  <c r="G63" i="16"/>
  <c r="F38" i="12"/>
  <c r="G38" i="12"/>
  <c r="E15" i="12"/>
  <c r="G15" i="12" s="1"/>
  <c r="E38" i="15"/>
  <c r="E5" i="12"/>
  <c r="G305" i="20"/>
  <c r="F9" i="15"/>
  <c r="F60" i="16"/>
  <c r="F31" i="12"/>
  <c r="E28" i="15"/>
  <c r="C13" i="15"/>
  <c r="C25" i="15" s="1"/>
  <c r="E12" i="15"/>
  <c r="D36" i="15"/>
  <c r="F33" i="15"/>
  <c r="D13" i="15"/>
  <c r="E9" i="15"/>
  <c r="F6" i="12"/>
  <c r="G58" i="12"/>
  <c r="F16" i="12"/>
  <c r="F45" i="12"/>
  <c r="E30" i="12"/>
  <c r="F30" i="12" s="1"/>
  <c r="F27" i="12"/>
  <c r="E23" i="12"/>
  <c r="G23" i="12" s="1"/>
  <c r="E44" i="12"/>
  <c r="F44" i="12" s="1"/>
  <c r="E34" i="12"/>
  <c r="G34" i="12" s="1"/>
  <c r="F35" i="12"/>
  <c r="F24" i="12"/>
  <c r="F11" i="12"/>
  <c r="F8" i="12"/>
  <c r="E66" i="16"/>
  <c r="E62" i="16" s="1"/>
  <c r="E51" i="16"/>
  <c r="G51" i="16" s="1"/>
  <c r="F77" i="16"/>
  <c r="C5" i="16"/>
  <c r="F64" i="16"/>
  <c r="F10" i="16"/>
  <c r="F38" i="16"/>
  <c r="C63" i="16"/>
  <c r="F93" i="16"/>
  <c r="F21" i="16"/>
  <c r="F47" i="16"/>
  <c r="G93" i="16"/>
  <c r="D62" i="16"/>
  <c r="G56" i="16"/>
  <c r="F48" i="16"/>
  <c r="F16" i="16"/>
  <c r="E5" i="16"/>
  <c r="G5" i="16" s="1"/>
  <c r="G110" i="20"/>
  <c r="G85" i="20"/>
  <c r="G86" i="20"/>
  <c r="F304" i="20"/>
  <c r="G304" i="20" s="1"/>
  <c r="F344" i="20"/>
  <c r="G344" i="20" s="1"/>
  <c r="G345" i="20"/>
  <c r="G188" i="20"/>
  <c r="G187" i="20"/>
  <c r="F468" i="20"/>
  <c r="G468" i="20" s="1"/>
  <c r="G469" i="20"/>
  <c r="E363" i="20"/>
  <c r="G363" i="20" s="1"/>
  <c r="G364" i="20"/>
  <c r="G150" i="20"/>
  <c r="F149" i="20"/>
  <c r="G149" i="20" s="1"/>
  <c r="G434" i="20"/>
  <c r="G441" i="20"/>
  <c r="E474" i="20"/>
  <c r="E447" i="20" s="1"/>
  <c r="G475" i="20"/>
  <c r="F125" i="20"/>
  <c r="G126" i="20"/>
  <c r="E221" i="20"/>
  <c r="G222" i="20"/>
  <c r="F162" i="20"/>
  <c r="G162" i="20" s="1"/>
  <c r="G163" i="20"/>
  <c r="F44" i="20"/>
  <c r="G44" i="20" s="1"/>
  <c r="G45" i="20"/>
  <c r="F55" i="20"/>
  <c r="G55" i="20" s="1"/>
  <c r="G56" i="20"/>
  <c r="F411" i="20"/>
  <c r="G412" i="20"/>
  <c r="G479" i="20"/>
  <c r="F474" i="20"/>
  <c r="G11" i="20"/>
  <c r="F10" i="20"/>
  <c r="F320" i="20"/>
  <c r="G320" i="20" s="1"/>
  <c r="G321" i="20"/>
  <c r="F267" i="20"/>
  <c r="G267" i="20" s="1"/>
  <c r="G268" i="20"/>
  <c r="G387" i="20"/>
  <c r="G449" i="20"/>
  <c r="F404" i="20"/>
  <c r="G404" i="20" s="1"/>
  <c r="G405" i="20"/>
  <c r="F107" i="20"/>
  <c r="G107" i="20" s="1"/>
  <c r="G109" i="20"/>
  <c r="F394" i="20"/>
  <c r="G394" i="20" s="1"/>
  <c r="G395" i="20"/>
  <c r="C36" i="15"/>
  <c r="E33" i="15"/>
  <c r="F12" i="15"/>
  <c r="D37" i="15"/>
  <c r="B13" i="15"/>
  <c r="B25" i="15" s="1"/>
  <c r="F40" i="12"/>
  <c r="C37" i="12"/>
  <c r="E37" i="12"/>
  <c r="G37" i="12" s="1"/>
  <c r="E15" i="16"/>
  <c r="G15" i="16" s="1"/>
  <c r="E59" i="16"/>
  <c r="G59" i="16" s="1"/>
  <c r="F20" i="12"/>
  <c r="F18" i="12"/>
  <c r="F34" i="15"/>
  <c r="F35" i="15"/>
  <c r="E21" i="15"/>
  <c r="F28" i="16"/>
  <c r="F40" i="16"/>
  <c r="D4" i="16"/>
  <c r="C66" i="16"/>
  <c r="F12" i="16"/>
  <c r="F56" i="16"/>
  <c r="C23" i="12"/>
  <c r="G47" i="16"/>
  <c r="F67" i="16"/>
  <c r="F57" i="16"/>
  <c r="C51" i="16"/>
  <c r="F52" i="16"/>
  <c r="F54" i="16"/>
  <c r="C15" i="16"/>
  <c r="F6" i="16"/>
  <c r="D4" i="12"/>
  <c r="F21" i="12"/>
  <c r="C5" i="12"/>
  <c r="F13" i="15" l="1"/>
  <c r="F15" i="12"/>
  <c r="F23" i="12"/>
  <c r="G44" i="12"/>
  <c r="E36" i="15"/>
  <c r="C4" i="12"/>
  <c r="C55" i="12"/>
  <c r="F55" i="12" s="1"/>
  <c r="F63" i="16"/>
  <c r="C62" i="16"/>
  <c r="F62" i="16" s="1"/>
  <c r="F53" i="12"/>
  <c r="G30" i="12"/>
  <c r="E4" i="12"/>
  <c r="E47" i="12" s="1"/>
  <c r="G5" i="12"/>
  <c r="D25" i="15"/>
  <c r="E25" i="15" s="1"/>
  <c r="F36" i="15"/>
  <c r="F37" i="12"/>
  <c r="F34" i="12"/>
  <c r="G62" i="16"/>
  <c r="G66" i="16"/>
  <c r="D82" i="16"/>
  <c r="F51" i="16"/>
  <c r="F66" i="16"/>
  <c r="F15" i="16"/>
  <c r="F5" i="16"/>
  <c r="F447" i="20"/>
  <c r="G447" i="20" s="1"/>
  <c r="F8" i="20"/>
  <c r="G10" i="20"/>
  <c r="E123" i="20"/>
  <c r="G221" i="20"/>
  <c r="G411" i="20"/>
  <c r="F409" i="20"/>
  <c r="G409" i="20" s="1"/>
  <c r="G474" i="20"/>
  <c r="F385" i="20"/>
  <c r="G385" i="20" s="1"/>
  <c r="F123" i="20"/>
  <c r="G125" i="20"/>
  <c r="E4" i="16"/>
  <c r="E13" i="15"/>
  <c r="F59" i="16"/>
  <c r="E37" i="15"/>
  <c r="F37" i="15"/>
  <c r="D39" i="15"/>
  <c r="C4" i="16"/>
  <c r="D47" i="12"/>
  <c r="F5" i="12"/>
  <c r="C58" i="12" l="1"/>
  <c r="F58" i="12" s="1"/>
  <c r="C82" i="16"/>
  <c r="G47" i="12"/>
  <c r="G4" i="12"/>
  <c r="G123" i="20"/>
  <c r="G8" i="20"/>
  <c r="F39" i="15"/>
  <c r="E39" i="15"/>
  <c r="E82" i="16"/>
  <c r="G82" i="16" s="1"/>
  <c r="G4" i="16"/>
  <c r="F4" i="16"/>
  <c r="C47" i="12"/>
  <c r="F47" i="12" s="1"/>
  <c r="F4" i="12"/>
  <c r="F82" i="16" l="1"/>
  <c r="F497" i="20" l="1"/>
  <c r="F486" i="20" s="1"/>
  <c r="F485" i="20" s="1"/>
  <c r="E497" i="20" l="1"/>
  <c r="F483" i="20"/>
  <c r="F7" i="20" s="1"/>
  <c r="E486" i="20" l="1"/>
  <c r="E485" i="20" s="1"/>
  <c r="E483" i="20" s="1"/>
  <c r="E7" i="20" s="1"/>
  <c r="E526" i="20" s="1"/>
  <c r="G498" i="20"/>
  <c r="G497" i="20"/>
  <c r="G483" i="20" l="1"/>
  <c r="G485" i="20"/>
  <c r="G486" i="20"/>
  <c r="F526" i="20"/>
  <c r="G526" i="20" s="1"/>
  <c r="G7" i="20"/>
</calcChain>
</file>

<file path=xl/sharedStrings.xml><?xml version="1.0" encoding="utf-8"?>
<sst xmlns="http://schemas.openxmlformats.org/spreadsheetml/2006/main" count="1426" uniqueCount="399">
  <si>
    <t>OSNOVNA ŠKOLA „VAZMOSLAV GRŽALJA“ BUZET</t>
  </si>
  <si>
    <t>KLASA: 400-03/24-01/01</t>
  </si>
  <si>
    <t>UR.BROJ: 2163-46-01-24-1</t>
  </si>
  <si>
    <t>Buzet, 2. travnja 2024.g.</t>
  </si>
  <si>
    <t>IZVJEŠTAJ O IZVRŠENJU FINANCIJSKOG PLANA ZA RAZDOBLJE</t>
  </si>
  <si>
    <t>OD 01.01. DO 31.12.2023.G.</t>
  </si>
  <si>
    <t>I. OPĆI DIO</t>
  </si>
  <si>
    <t>SAŽETAK  RAČUNA PRIHODA I RASHODA I RAČUNA FINANCIRANJA</t>
  </si>
  <si>
    <t>A. RAČUN PRIHODA I RASHODA</t>
  </si>
  <si>
    <t>OPIS</t>
  </si>
  <si>
    <t>OSTVARENJE/ IZVRŠENJE 2022.</t>
  </si>
  <si>
    <t>IZVORNI PLAN / REBALANS 2023.</t>
  </si>
  <si>
    <t>OSTVARENJE / IZVRŠENJE 2023.</t>
  </si>
  <si>
    <t>INDEKS 1</t>
  </si>
  <si>
    <t>INDEKS 2</t>
  </si>
  <si>
    <t>5=4/2*100</t>
  </si>
  <si>
    <t>6=4/3*100</t>
  </si>
  <si>
    <t>6 PRIHODI POSLOVANJA</t>
  </si>
  <si>
    <t>7 PRIHODI OD PRODAJE NEFINANCIJSKE IMOVINE</t>
  </si>
  <si>
    <t>UKUPNO PRIHODI</t>
  </si>
  <si>
    <t>3 RASHODI POSLOVANJA</t>
  </si>
  <si>
    <t>4 RASHODI ZA NABAVU NEFINANCIJSKE IMOVINE</t>
  </si>
  <si>
    <t>UKUPNO RASHODI</t>
  </si>
  <si>
    <t>Razlika</t>
  </si>
  <si>
    <t>B. RAČUN FINANCIRANJA</t>
  </si>
  <si>
    <t>8 PRIMICI OD FINANCIJSKE IMOVINE I ZADUŽIVANJA</t>
  </si>
  <si>
    <t>5 IZDACI ZA FINANCIJSKU IMOVINU I OTPLATE ZAJMOVA</t>
  </si>
  <si>
    <t>NETO FINANCIRANJE</t>
  </si>
  <si>
    <t>C. RASPOLOŽIVA SREDSTVA IZ PRETHODNE GODINE</t>
  </si>
  <si>
    <t>VIŠAK / MANJAK IZ PRETHODNE GODINE KOJI ĆE SE POKRITI U TEKUĆOJ GODINI</t>
  </si>
  <si>
    <t>VIŠAK / MANJAK + RASPOLOŽIVA SREDSTVA IZ PRETHODNIH GODINA + NETO FINANCIRANJE</t>
  </si>
  <si>
    <t>D. INFORMACIJA O UKUPNOM VIŠKU/MANJKU DONESENOM IZ PRETHODNE GODINE</t>
  </si>
  <si>
    <t>UKUPAN DONOS VIŠKA / MANJKA IZ PRETHODNE GODINE</t>
  </si>
  <si>
    <t>REKAPITULACIJA</t>
  </si>
  <si>
    <t>UKUPNI PRIHODI</t>
  </si>
  <si>
    <t>VIŠAK PRETHODNIH GODINA</t>
  </si>
  <si>
    <t>PRIMICI OD FINANCIJSKE IMOVINE I ZADUŽIVANJA</t>
  </si>
  <si>
    <t>UKUPNO RASPOLOŽIVA SREDSTVA</t>
  </si>
  <si>
    <t>UKUPNI RASHODI</t>
  </si>
  <si>
    <t>IZDACI ZA FINANCIJSKU IMOVINU I OTPLATU ZAJMOVA</t>
  </si>
  <si>
    <t>UKUPNO RASPOREĐENA SREDSTVA</t>
  </si>
  <si>
    <t xml:space="preserve">TABELA A.1.: OSTVARENJE PRIHODA I PRIMITAKA ZA RAZDOBLJE OD 01.01. DO 31.12.2023.G. PREMA EKONOMSKOJ KLASIFIKACIJI </t>
  </si>
  <si>
    <t>RAČUN PRIHODA / PRIMITKA</t>
  </si>
  <si>
    <t>NAZIV RAČUNA</t>
  </si>
  <si>
    <t>PRIHODI POSLOVANJA</t>
  </si>
  <si>
    <t>POMOĆI IZ INOZEMSTVA I OD SUBJEKATA UNUTAR OPĆEG PRORAČUNA</t>
  </si>
  <si>
    <t>POMOĆI OD IZVANPRORAČUNSKIH KORISNIKA</t>
  </si>
  <si>
    <t>TEKUĆE POMOĆI OD IZVANPRORAČUNSKIH KORISNIKA</t>
  </si>
  <si>
    <t>POMOĆI PRORAČ. KORISNICIMA IZ PRORAČUNA KOJI IM NIJE NADLEŽAN</t>
  </si>
  <si>
    <t>TEKUĆE POMOĆI PRORAČ. KORISNICIMA IZ PRORAČUNA KOJI IM NIJE NADLEŽAN</t>
  </si>
  <si>
    <t>KAPITALNE POMOĆI PRORAČ. KORISNICIMA IZ PRORAČ. KOJI IM NIJE NADLEŽAN</t>
  </si>
  <si>
    <t>POMOĆI TEMELJEM PRIJENOSA EU SREDSTAVA</t>
  </si>
  <si>
    <t>TEKUĆE POMOĆI TEMELJEM PRIJENOSA EU SREDSTAVA</t>
  </si>
  <si>
    <t>PRIJENOSI IZMEĐU PROR. KORISNIKA ISTOG PRORAČUNA</t>
  </si>
  <si>
    <t>TEKUĆI PRIJENOSI IZMEĐU PROR. KORISNIKA ISTOG PRORAČUNA</t>
  </si>
  <si>
    <t>PRIHODI OD IMOVINE</t>
  </si>
  <si>
    <t>PRIHODI OD FINANCIJSKE IMOVINE - KAMATE A VISTA</t>
  </si>
  <si>
    <t>KAMATE NA OROČENA SREDSTVA</t>
  </si>
  <si>
    <t>PRIHODI OD NEFINANCIJSKE IMOVINE - NAJAM</t>
  </si>
  <si>
    <t>PRIHODI OD ZAKUPA I IZNAJMLJIVANJA IMOVINE</t>
  </si>
  <si>
    <t>PRIHODI OD ADMINISTRATIVNIH PRISTOJBI I PO POSEBNIM PROPISIMA</t>
  </si>
  <si>
    <t>PRIHODI PO POSEBNIM PROPISIMA</t>
  </si>
  <si>
    <t>SUFINANCIRANJE CIJENE USLUGE, PARTICIPACIJE I SLIČNO</t>
  </si>
  <si>
    <t>PRIHODI OD PRODAJE PROIZVODA I ROBE TE PRUŽENIH USLUGA TE PRUŽENIH USLUGA I PRIHODI OD DONACIJA</t>
  </si>
  <si>
    <t>PRIHODI OD PRODAJE PROIZVODA I ROBA I PRUŽENIH USLUGA</t>
  </si>
  <si>
    <t>PRIHODI OD PRODANIH PROIZVODA</t>
  </si>
  <si>
    <t xml:space="preserve">PRIHODI OD PRUŽENIH USLUGA </t>
  </si>
  <si>
    <t>DONACIJE OD PRAVNIH I FIZIČKIH OSOBA IZVAN OPĆEG PRORAČUNA</t>
  </si>
  <si>
    <t>TEKUĆE DONACIJE OD PRAVNIH I FIZIČKIH OSOBA IZVAN OPĆEG PRORAČUNA</t>
  </si>
  <si>
    <t>KAPITALNE DONACIJE OD TRGOVAČKIH DRUŠTAVA</t>
  </si>
  <si>
    <t>PRIHODI IZ NADLEŽNOG PRORAČUNA I OD HZZO-a TEMELJEM UGOVORNIH OBVEZA</t>
  </si>
  <si>
    <t>PRIHODI IZ  NADLEŽNOG PRORAČUNA ZA FINANCIRANJE RASHODA POSLOVANJA</t>
  </si>
  <si>
    <t>PRIHODI IZ NADLEŽNOG PRORAČUNA ZA FINANC. RASHODA POSLOVANJA</t>
  </si>
  <si>
    <t>PRIHODI IU NADLEŽNOG PRORAČUNA ZA FINANC. RASHODA ZA NABAVU NEFINAN. IMOVINE</t>
  </si>
  <si>
    <t>KAZNE, UPRAVNE MJERE I OSTALI PRIHODI</t>
  </si>
  <si>
    <t>OSTALI PRIHODI</t>
  </si>
  <si>
    <t>PRIHODI OD PRODAJE NEFINANCIJSKE IMOVINE</t>
  </si>
  <si>
    <t>PRIHODI OD PRODAJE NEPROIZVEDENE DUGOTRAJNE IMOVINE</t>
  </si>
  <si>
    <t>PRIHODI OD PRODAJE MATERIJALNE IMOVINE - PRIRODNIH BOGATSTVA</t>
  </si>
  <si>
    <t>PRIHODI OD PRODAJE PROIZVEDENE DUGOTRAJNE IMOVINE</t>
  </si>
  <si>
    <t>PRIHODI OD PRODAJE GRAĐEVINSKIH OBJEKATA</t>
  </si>
  <si>
    <t>PRIHODI OD PRODAJE POSTROJENJA I OPREME</t>
  </si>
  <si>
    <t>PRIHODI OD PRODAJE PRIJEVOZNIH SREDSTAVA</t>
  </si>
  <si>
    <t>VLASTITI IZVORI</t>
  </si>
  <si>
    <t>REZULTAT POSLOVANJA</t>
  </si>
  <si>
    <t>VIŠAK PRIHODA - PRENESENI</t>
  </si>
  <si>
    <t>UKUPNO PRIHODI + VIŠAK KORIŠTEN  ZA POKRIĆE RASHODA</t>
  </si>
  <si>
    <t xml:space="preserve">PRIHODI PO IZVORIMA FINANCIRANJA </t>
  </si>
  <si>
    <t>IZVOR FINANCIRANJA</t>
  </si>
  <si>
    <t>NAZIV IZVORA FINANCIRANJA</t>
  </si>
  <si>
    <t>OPĆI PRIHODI I PRIMICI</t>
  </si>
  <si>
    <t>VLASTITI PRIHODI</t>
  </si>
  <si>
    <t>PRIHODI ZA POSEBNE NAMJENE</t>
  </si>
  <si>
    <t>POMOĆI</t>
  </si>
  <si>
    <t>DONACIJE</t>
  </si>
  <si>
    <t>PRIH. OD PRODAJE NEFIN. IMOVINE</t>
  </si>
  <si>
    <t>SVEUKUPNO:</t>
  </si>
  <si>
    <t>TABELA A.2.: IZVRŠENJE RASHODA I IZDATAKA ZA RAZDOBLJE OD 01.01. DO 31.12.2023.G. PREMA EKONOMSKOJ KLASIFIKACIJI</t>
  </si>
  <si>
    <t>RAČUN RASHODA/
IZDATKA</t>
  </si>
  <si>
    <t>6=5/2*100</t>
  </si>
  <si>
    <t>7=5/4*100</t>
  </si>
  <si>
    <t>RASHODI POSLOVANJA</t>
  </si>
  <si>
    <t>RASHODI ZA ZAPOSLENE</t>
  </si>
  <si>
    <t>PLAĆE</t>
  </si>
  <si>
    <t>PLAĆE ZA REDOVAN RAD</t>
  </si>
  <si>
    <t>PLAĆE ZA PREKOVREMENI RAD</t>
  </si>
  <si>
    <t>PLAĆE ZA POSEBNE UVJETE RADA</t>
  </si>
  <si>
    <t>OSTALI RASHODI ZA ZAPOSLENE</t>
  </si>
  <si>
    <t>3121</t>
  </si>
  <si>
    <t>DOPRINOSI NA PLAĆE</t>
  </si>
  <si>
    <t>DOPRINOSI ZA OBVEZNO ZDRAVSTVENO OSIGURANJE</t>
  </si>
  <si>
    <t>DOPRINOSI ZA OBVEZNO OSIGURANJE U SLUČAJU NEZAPOSLENOSTI</t>
  </si>
  <si>
    <t>MATERIJALNI RASHODI</t>
  </si>
  <si>
    <t>NAKNADE TROŠKOVA ZAPOSLENIMA</t>
  </si>
  <si>
    <t>3211</t>
  </si>
  <si>
    <t>SLUŽBENA PUTOVANJA</t>
  </si>
  <si>
    <t>3212</t>
  </si>
  <si>
    <t>NAKNADE ZA PRIJEVOZ, ZA RAD NA TERENU I ODVOJENI ŽIVOT</t>
  </si>
  <si>
    <t>STRUČNO USAVRŠAVANJE</t>
  </si>
  <si>
    <t>OSTALE NAKNADE TROŠK. ZAPOSLEN.</t>
  </si>
  <si>
    <t>RASHODI ZA MATERIJAL I ENERGIJU</t>
  </si>
  <si>
    <t>3221</t>
  </si>
  <si>
    <t>UREDSKI MATERIJAL I OSTALI MATERIJALNI RASHODI</t>
  </si>
  <si>
    <t>MATERIJAL I SIROVINE</t>
  </si>
  <si>
    <t>3223</t>
  </si>
  <si>
    <t>ENERGIJA</t>
  </si>
  <si>
    <t>3224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</si>
  <si>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</si>
  <si>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</si>
  <si>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</si>
  <si>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</si>
  <si>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3231</t>
  </si>
  <si>
    <t>USLUGE TELEFONA, POŠTE I PRIJEVOZA</t>
  </si>
  <si>
    <t>3232</t>
  </si>
  <si>
    <t>USLUGE TEKUĆEG I INVESTICIJSKOG ODRŽAVANJA</t>
  </si>
  <si>
    <t>USLUGE PROMIDŽE I INFORMIRANJA</t>
  </si>
  <si>
    <t>3234</t>
  </si>
  <si>
    <t>KOMUNALNE USLUGE</t>
  </si>
  <si>
    <t>ZAKUPNINE I NAJAMNINE</t>
  </si>
  <si>
    <t>ZDRAVSTVENE I VETERINARSKE USLUGE</t>
  </si>
  <si>
    <t>INTELEKTUALNE I OSOBNE USLUGE</t>
  </si>
  <si>
    <t>3238</t>
  </si>
  <si>
    <t>RAČUNALNE USLUGE</t>
  </si>
  <si>
    <t>3239</t>
  </si>
  <si>
    <t>OSTALE USLUGE</t>
  </si>
  <si>
    <t>NAKNADE TROŠKOVA OSOBAMA IZVAN RADNOG ODNOSA</t>
  </si>
  <si>
    <t>OSTALI NESPOMENUTI RASHODI POSLOVANJA</t>
  </si>
  <si>
    <t>PREMIJE OSIGURANJA</t>
  </si>
  <si>
    <t>3293</t>
  </si>
  <si>
    <t>REPREZENTACIJA</t>
  </si>
  <si>
    <t>ČLANARINE I NORME</t>
  </si>
  <si>
    <t>PRISTOJBE I NAKNADE</t>
  </si>
  <si>
    <t>TROŠKOVI SUDSKIH POSTUPAKA</t>
  </si>
  <si>
    <t>3299</t>
  </si>
  <si>
    <t>FINANCIJSKI RASHODI</t>
  </si>
  <si>
    <t>OSTALI FINANCIJSKI RASHODI</t>
  </si>
  <si>
    <t>3431</t>
  </si>
  <si>
    <t>BANKARSKE USLUGE I USLUGE PLATNOG PROMETA</t>
  </si>
  <si>
    <t>ZATEZNE KAMATE</t>
  </si>
  <si>
    <t>POMOĆI DANE U INOZEMSTVO I UNUTAR OPĆE DRŽAVE</t>
  </si>
  <si>
    <t>TEKUĆE POMOĆI PRORAČ. KORISNICIMA DRUGIH PRORAČUNA</t>
  </si>
  <si>
    <t>TEKUĆI PRIJENOSI IZMEĐU PRORAČ. KORISNIKA ISTOG PRORAČUNA</t>
  </si>
  <si>
    <t>NAKNADE GRAĐANIMA I KUĆANSTVIMA INA TEMELJU OSIG. I DRUGIH NAKNADA</t>
  </si>
  <si>
    <t>OSTALE NAKNADE GRAĐANIMA I KUĆANSTVIMA IZ PRORAČUNA</t>
  </si>
  <si>
    <t>NAKNADE GRAĐANIMA I KUĆANSTVIMA U NARAVI</t>
  </si>
  <si>
    <t>OSTALI RASHODI</t>
  </si>
  <si>
    <t>TEKUĆE DONACIJE</t>
  </si>
  <si>
    <t>TEKUĆE DONACIJE U NOVCU</t>
  </si>
  <si>
    <t>RASHODI ZA NABAVU NEFINANCIJSKE IMOVINE</t>
  </si>
  <si>
    <t>RASHODI ZA NABAVU NEPREOIZVEDENE DUGOTRAJNE IMOVINE</t>
  </si>
  <si>
    <t>LICENCE</t>
  </si>
  <si>
    <t>RASHODI ZA NABAVU PREOIZVEDENE DUGOTRAJNE IMOVINE</t>
  </si>
  <si>
    <t>POSTROJENJA I OPREMA</t>
  </si>
  <si>
    <t>4221</t>
  </si>
  <si>
    <t>UREDSKA OPREMA I NAMJEŠTAJ</t>
  </si>
  <si>
    <t>KOMUNIKACIJSKA OPREMA</t>
  </si>
  <si>
    <t>OPREMA ZA ODRŽAVANJE I ZAŠTITU</t>
  </si>
  <si>
    <t>MEDICINSKA I LABORATORIJSKA OPREMA</t>
  </si>
  <si>
    <t>MJERNI I KONTROLNI UREĐAJI</t>
  </si>
  <si>
    <t>SPORTSKA I GLAZBENA OPREMA</t>
  </si>
  <si>
    <t>UREĐAJI, STROJEVI I OPREMA ZA OSTALE NAMJENE</t>
  </si>
  <si>
    <t>PRIJEVOZNA SREDSTVA</t>
  </si>
  <si>
    <t>PRIJEVOZNA SREDSTVA U CESTOVNOM PROMETU</t>
  </si>
  <si>
    <t xml:space="preserve">KNJIGE, UMJETNIČKA DJELA I OSTALE IZLEŽBENE VRIJEDNOSTI </t>
  </si>
  <si>
    <t>KNJIGE</t>
  </si>
  <si>
    <t>RASHODI ZA DODATNA ULAG. NA NEFIN. IMOVINI</t>
  </si>
  <si>
    <t>DODATNA ULAGANJA NA GRAĐEVINSKIM OBJEKTIMA</t>
  </si>
  <si>
    <t xml:space="preserve">RASHODI PO IZVORIMA FINANCIRANJA </t>
  </si>
  <si>
    <t>TABELA A.3.:  IZVJEŠTAJ O RASHODIMA PREMA FUNKCIJSKOJ KLASIFIKACIJI</t>
  </si>
  <si>
    <t>BROJČANA OZNAKA I NAZIV</t>
  </si>
  <si>
    <t>09 OBRAZOVANJE</t>
  </si>
  <si>
    <t>091 PREDŠKOL. I OSNOVNO OBRAZ.</t>
  </si>
  <si>
    <t>091 OSNOVNO OBRAZOVANJE</t>
  </si>
  <si>
    <t>II. POSEBNI DIO</t>
  </si>
  <si>
    <t xml:space="preserve">IZVJEŠTAJ O IZVRŠENJU FINANCIJSKOG PLANA ZA RAZDOBLJE OD 1.1. DO 31.12.2023. GODINE 
PO PROGRAMSKOJ I  EKONOMSKOJ KLASIFIKACIJI I IZVORIMA FINANCIRANJA </t>
  </si>
  <si>
    <t>POZICIJA</t>
  </si>
  <si>
    <t>RAČUN</t>
  </si>
  <si>
    <t>IZVOR FINAN.</t>
  </si>
  <si>
    <t>5=4/3*100</t>
  </si>
  <si>
    <t xml:space="preserve">10410 </t>
  </si>
  <si>
    <t>O.Š. Vazmoslav Gržalja, Buzet</t>
  </si>
  <si>
    <t>2101</t>
  </si>
  <si>
    <t>Redovna djelatnost osnovnih škola - minimalni standard</t>
  </si>
  <si>
    <t>A210101</t>
  </si>
  <si>
    <t>Materijalni rashodi OŠ po kriterijima</t>
  </si>
  <si>
    <t>3</t>
  </si>
  <si>
    <t>32</t>
  </si>
  <si>
    <t>321</t>
  </si>
  <si>
    <t>48005</t>
  </si>
  <si>
    <t>3213</t>
  </si>
  <si>
    <t>STRUČNO USAVRŠAVANJE ZAPOSLENIKA</t>
  </si>
  <si>
    <t>3214</t>
  </si>
  <si>
    <t>OSTALE NAKNADE TROŠKOVA ZAPOSLENIMA</t>
  </si>
  <si>
    <t>322</t>
  </si>
  <si>
    <t>RASHODI ZA MATERIJAL I ENERG.</t>
  </si>
  <si>
    <t>3222</t>
  </si>
  <si>
    <t>ENERGIJA-GORIVO ZA MOTORNA VOZILA</t>
  </si>
  <si>
    <t>MAT.I DIJELOVI ZA TEKUĆE I INVEST.ODRŽAVANJE</t>
  </si>
  <si>
    <t>3225</t>
  </si>
  <si>
    <t>3227</t>
  </si>
  <si>
    <t>323</t>
  </si>
  <si>
    <t>USLUGE PROMIDŽBE I INFORMIRANJA</t>
  </si>
  <si>
    <t>3235</t>
  </si>
  <si>
    <t>3236</t>
  </si>
  <si>
    <t>3237</t>
  </si>
  <si>
    <t>INTELEKTUALNE I OSOBNE  USLUGE</t>
  </si>
  <si>
    <t>324</t>
  </si>
  <si>
    <t>3241</t>
  </si>
  <si>
    <t>329</t>
  </si>
  <si>
    <t>OST.NESPOM.RASHODI POSLOVANJA</t>
  </si>
  <si>
    <t>3294</t>
  </si>
  <si>
    <t>3295</t>
  </si>
  <si>
    <t>34</t>
  </si>
  <si>
    <t>343</t>
  </si>
  <si>
    <t>A210102</t>
  </si>
  <si>
    <t>Materijalni rashodi OŠ po stvarnom trošku</t>
  </si>
  <si>
    <t>37</t>
  </si>
  <si>
    <t>NAKN.GRAĐ.,KUĆANSTVIMA NA TEMELJ.OSIGURANJA I DR.NAKNADE</t>
  </si>
  <si>
    <t>372</t>
  </si>
  <si>
    <t>OSTALE NAKNADE GRAĐANIMA I KUČANSTVIMA IZ PRORAČUNA</t>
  </si>
  <si>
    <t>A210103</t>
  </si>
  <si>
    <t>Materijalni rashodi OŠ po stvarnom trošku-drugi izvori</t>
  </si>
  <si>
    <t>32300</t>
  </si>
  <si>
    <t>3233</t>
  </si>
  <si>
    <t>A210104</t>
  </si>
  <si>
    <t>Plaće i drugi rashodi za zaposlene osnovnih škola</t>
  </si>
  <si>
    <t>31</t>
  </si>
  <si>
    <t>311</t>
  </si>
  <si>
    <t>PLAĆE (BRUTO)</t>
  </si>
  <si>
    <t>3111</t>
  </si>
  <si>
    <t>53082</t>
  </si>
  <si>
    <t>312</t>
  </si>
  <si>
    <t>313</t>
  </si>
  <si>
    <t>3132</t>
  </si>
  <si>
    <t>3133</t>
  </si>
  <si>
    <t>3296</t>
  </si>
  <si>
    <t>3433</t>
  </si>
  <si>
    <t>2102</t>
  </si>
  <si>
    <t>Redovna djelatnost osnovnih škola - iznad standarda</t>
  </si>
  <si>
    <t>A210201</t>
  </si>
  <si>
    <t>Materijalni rashodi OŠ po stvarnom trošku iznad standarda</t>
  </si>
  <si>
    <t>11001</t>
  </si>
  <si>
    <t>2301</t>
  </si>
  <si>
    <t>Programi obrazovanja iznad standarda</t>
  </si>
  <si>
    <t>A230102</t>
  </si>
  <si>
    <t>Županijska natjecanja</t>
  </si>
  <si>
    <t>DOPRINOSI ZA OBVEZNO ZDRAVST. OSIG.</t>
  </si>
  <si>
    <t>58300</t>
  </si>
  <si>
    <t>36</t>
  </si>
  <si>
    <t>369</t>
  </si>
  <si>
    <t>PRIJENOSI IZMEĐU PRORAČUNSKIH KORISNIKA ISTOG PRORAČUNA</t>
  </si>
  <si>
    <t>3691</t>
  </si>
  <si>
    <t>TEKUĆI PRIJENOSI IZMEĐU PRORAČUN.KORISNIKA ISTOG PRORAČUNA</t>
  </si>
  <si>
    <t>38</t>
  </si>
  <si>
    <t>381</t>
  </si>
  <si>
    <t>3811</t>
  </si>
  <si>
    <t>A230104</t>
  </si>
  <si>
    <t>Pomoćnici u nastavi</t>
  </si>
  <si>
    <t>A230106</t>
  </si>
  <si>
    <t>Školska kuhinja</t>
  </si>
  <si>
    <t>47300</t>
  </si>
  <si>
    <t>55043</t>
  </si>
  <si>
    <t>4</t>
  </si>
  <si>
    <t>42</t>
  </si>
  <si>
    <t>RASHODI ZA NABAVU PROIZVEDENE DUGOTRAJNE IMOVINE</t>
  </si>
  <si>
    <t>422</t>
  </si>
  <si>
    <t>A230107</t>
  </si>
  <si>
    <t>Produženi boravak</t>
  </si>
  <si>
    <t>A230109</t>
  </si>
  <si>
    <t>Mala glagoljaška akademija</t>
  </si>
  <si>
    <t>53080</t>
  </si>
  <si>
    <t>UREDSKI MATERIJAL I OSTALI MATERIJALNI IZDACI</t>
  </si>
  <si>
    <t>62300</t>
  </si>
  <si>
    <t>USLUGE TELEFONA, POŠTE I PRIJEVOZA-SREDSTVA G.BUZETA</t>
  </si>
  <si>
    <t>USLUGE PROMIDŽBE I INFORMIRANJA-SREDSTVA G.BUZETA</t>
  </si>
  <si>
    <t>INTELEKTUALNE I OSOBNE USLUGE-S.GRADA BUZETA</t>
  </si>
  <si>
    <t>OSTALI NESPOMENUTI RASH. POSLOVANJA</t>
  </si>
  <si>
    <t>4227</t>
  </si>
  <si>
    <t>A230115</t>
  </si>
  <si>
    <t>Ostali programi i projekti</t>
  </si>
  <si>
    <t>A230116</t>
  </si>
  <si>
    <t>Školski list, časopisi i knjige</t>
  </si>
  <si>
    <t>3722</t>
  </si>
  <si>
    <t>424</t>
  </si>
  <si>
    <t>KNJIGE,UMJ.DJELA I OST.IZLOŽB.VRIJEDN.</t>
  </si>
  <si>
    <t>4241</t>
  </si>
  <si>
    <t>A230117</t>
  </si>
  <si>
    <t>Slobodne aktivnosti</t>
  </si>
  <si>
    <t>A230133</t>
  </si>
  <si>
    <t>Rad s nadarenim učenicima</t>
  </si>
  <si>
    <t>A230140</t>
  </si>
  <si>
    <t>Sufinanciranje redovne djelatnosti</t>
  </si>
  <si>
    <t>USLUGE PROMIDŽBE I INFORM.</t>
  </si>
  <si>
    <t>INSTRUMENTI, UREĐAJI I STROJEVI</t>
  </si>
  <si>
    <t>A230148</t>
  </si>
  <si>
    <t>Financiranje učenika s posebnim potrebama</t>
  </si>
  <si>
    <t>A230163</t>
  </si>
  <si>
    <t>Izleti i terenska nastava</t>
  </si>
  <si>
    <t>A230171</t>
  </si>
  <si>
    <t>Školska sportska društva</t>
  </si>
  <si>
    <t>A230184</t>
  </si>
  <si>
    <t>Zavičajna nastava</t>
  </si>
  <si>
    <t>A230197</t>
  </si>
  <si>
    <t>Projekt "Osiguranje prehrane djece u osnovnim školama"</t>
  </si>
  <si>
    <t>63000</t>
  </si>
  <si>
    <t>A230199</t>
  </si>
  <si>
    <t>Školska shema</t>
  </si>
  <si>
    <t>53060</t>
  </si>
  <si>
    <t>2302</t>
  </si>
  <si>
    <t>A230202</t>
  </si>
  <si>
    <t>Građanski odgoj</t>
  </si>
  <si>
    <t>A230203</t>
  </si>
  <si>
    <t>Medni dani</t>
  </si>
  <si>
    <t>A230208</t>
  </si>
  <si>
    <t>Prehrana za učenike u OŠ</t>
  </si>
  <si>
    <t>A230209</t>
  </si>
  <si>
    <t>Menstrualne higijenske potrepštine</t>
  </si>
  <si>
    <t>TEKUĆE DONACIJE U NARAVI</t>
  </si>
  <si>
    <t>2401</t>
  </si>
  <si>
    <t>Investicijsko održavanje osnovnih škola</t>
  </si>
  <si>
    <t>A240101</t>
  </si>
  <si>
    <t>Investicijsko održavanje OŠ -minimalni standard</t>
  </si>
  <si>
    <t>A240102</t>
  </si>
  <si>
    <t>Investicijsko održavanje OŠ- iznad standarda</t>
  </si>
  <si>
    <t>RASHODI ZA NABAVU NEFIN. IMOVINE</t>
  </si>
  <si>
    <t>DODATNA ULAGANJA NA GRAĐ. OBJEKTIMA</t>
  </si>
  <si>
    <t>A240103</t>
  </si>
  <si>
    <t>Investicijsko održavanje OŠ- drugi proračuni</t>
  </si>
  <si>
    <t>2403</t>
  </si>
  <si>
    <t>Kapitalna ulaganja u osnovne škole</t>
  </si>
  <si>
    <t>K240301</t>
  </si>
  <si>
    <t>Projektna dokumentacija OŠ</t>
  </si>
  <si>
    <t>K240319</t>
  </si>
  <si>
    <t>Fotonaponske elektrane kod OŠ</t>
  </si>
  <si>
    <t>2405</t>
  </si>
  <si>
    <t>Opremanje u osnovnim školama</t>
  </si>
  <si>
    <t>K240501</t>
  </si>
  <si>
    <t>Školski namještaj i oprema</t>
  </si>
  <si>
    <t>72300</t>
  </si>
  <si>
    <t>4223</t>
  </si>
  <si>
    <t>4225</t>
  </si>
  <si>
    <t>K240502</t>
  </si>
  <si>
    <t>Opremanje knjižnica</t>
  </si>
  <si>
    <t>K240510</t>
  </si>
  <si>
    <t>Opremanje školskih kuhinja u OŠ</t>
  </si>
  <si>
    <t>MOZAIK 5</t>
  </si>
  <si>
    <t>T921101</t>
  </si>
  <si>
    <t>Provedba projekta MOZAIK 5</t>
  </si>
  <si>
    <t>51100</t>
  </si>
  <si>
    <t>MOZAIK 6</t>
  </si>
  <si>
    <t>T921201</t>
  </si>
  <si>
    <t>Provedba projekta MOZAIK 6</t>
  </si>
  <si>
    <t>UKUPNO</t>
  </si>
  <si>
    <t>10410 O.Š. Vazmoslav Gržalja, Buzet</t>
  </si>
  <si>
    <t>IZVORI FINANCIRANJA</t>
  </si>
  <si>
    <t>11</t>
  </si>
  <si>
    <t>Nenamjenski prihodi i primici</t>
  </si>
  <si>
    <t>Vlastiti prihodi proračunskih korisnika</t>
  </si>
  <si>
    <t>47</t>
  </si>
  <si>
    <t>Prihodi za posebne namjene za proračunske korisnike</t>
  </si>
  <si>
    <t>48</t>
  </si>
  <si>
    <t>Decentralizirana sredstva</t>
  </si>
  <si>
    <t>51</t>
  </si>
  <si>
    <t>Europska unija</t>
  </si>
  <si>
    <t xml:space="preserve">Ministarstva i državne ustanove </t>
  </si>
  <si>
    <t>53</t>
  </si>
  <si>
    <t>Ministarstva i državne ustanove za proračunske korisnike</t>
  </si>
  <si>
    <t>55</t>
  </si>
  <si>
    <t>Gradovi i općine za proračunske korisnike</t>
  </si>
  <si>
    <t>58</t>
  </si>
  <si>
    <t>Ostale institucije za proračunske korisnike</t>
  </si>
  <si>
    <t>62</t>
  </si>
  <si>
    <t>Donacije za proračunske korisnike</t>
  </si>
  <si>
    <t>63</t>
  </si>
  <si>
    <t>Donacije Zaklada "Hrvatska za djecu"</t>
  </si>
  <si>
    <t>72</t>
  </si>
  <si>
    <t>Prihodi od prodaje imovine za proračunske korisnike</t>
  </si>
  <si>
    <t>Predsjednica Školskog odbora:</t>
  </si>
  <si>
    <t>Sandra Flego, dipl.ing. proizvodnje (politehnike)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</si>
</sst>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1A]#,##0.00;\-\ #,##0.00"/>
    <numFmt numFmtId="165" formatCode="#,##0.00\ _k_n"/>
    <numFmt numFmtId="166" formatCode="#,##0.00_ ;\-#,##0.00\ "/>
  </numFmts>
  <fonts count="36" x14ac:knownFonts="1">
    <font>
      <sz val="10"/>
      <name val="Arial"/>
    </font>
    <font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14"/>
      <name val="Arial"/>
      <family val="2"/>
      <charset val="238"/>
    </font>
    <font>
      <sz val="10"/>
      <color indexed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  <font>
      <b/>
      <i/>
      <sz val="10"/>
      <color rgb="FF7030A0"/>
      <name val="Arial"/>
      <family val="2"/>
      <charset val="238"/>
    </font>
    <font>
      <b/>
      <sz val="10"/>
      <color rgb="FF7030A0"/>
      <name val="Arial"/>
      <family val="2"/>
      <charset val="238"/>
    </font>
    <font>
      <b/>
      <i/>
      <sz val="11"/>
      <color rgb="FF000000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2"/>
      <color rgb="FF000000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ECE7D8"/>
        <bgColor indexed="64"/>
      </patternFill>
    </fill>
    <fill>
      <patternFill patternType="solid">
        <fgColor rgb="FFECE7D8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5BAAB"/>
        <bgColor indexed="0"/>
      </patternFill>
    </fill>
    <fill>
      <patternFill patternType="solid">
        <fgColor rgb="FFC5BAAB"/>
        <bgColor indexed="64"/>
      </patternFill>
    </fill>
    <fill>
      <patternFill patternType="solid">
        <fgColor theme="8" tint="0.79998168889431442"/>
        <bgColor indexed="0"/>
      </patternFill>
    </fill>
    <fill>
      <patternFill patternType="solid">
        <fgColor rgb="FFE4DED2"/>
        <bgColor indexed="0"/>
      </patternFill>
    </fill>
    <fill>
      <patternFill patternType="solid">
        <fgColor rgb="FFE4DED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89">
    <xf numFmtId="0" fontId="0" fillId="0" borderId="0" xfId="0"/>
    <xf numFmtId="0" fontId="3" fillId="0" borderId="0" xfId="0" applyFont="1" applyAlignment="1">
      <alignment readingOrder="1"/>
    </xf>
    <xf numFmtId="0" fontId="4" fillId="0" borderId="0" xfId="0" applyFont="1" applyAlignment="1" applyProtection="1">
      <alignment wrapText="1" readingOrder="1"/>
      <protection locked="0"/>
    </xf>
    <xf numFmtId="0" fontId="5" fillId="0" borderId="0" xfId="0" applyFont="1" applyAlignment="1">
      <alignment readingOrder="1"/>
    </xf>
    <xf numFmtId="0" fontId="1" fillId="0" borderId="0" xfId="0" applyFont="1" applyAlignment="1">
      <alignment readingOrder="1"/>
    </xf>
    <xf numFmtId="0" fontId="4" fillId="0" borderId="1" xfId="0" applyFont="1" applyBorder="1" applyAlignment="1" applyProtection="1">
      <alignment wrapText="1" readingOrder="1"/>
      <protection locked="0"/>
    </xf>
    <xf numFmtId="164" fontId="4" fillId="0" borderId="1" xfId="0" applyNumberFormat="1" applyFont="1" applyBorder="1" applyAlignment="1" applyProtection="1">
      <alignment wrapText="1" readingOrder="1"/>
      <protection locked="0"/>
    </xf>
    <xf numFmtId="0" fontId="3" fillId="0" borderId="0" xfId="0" applyFont="1" applyAlignment="1" applyProtection="1">
      <alignment wrapText="1" readingOrder="1"/>
      <protection locked="0"/>
    </xf>
    <xf numFmtId="0" fontId="1" fillId="0" borderId="2" xfId="0" applyFont="1" applyBorder="1" applyAlignment="1">
      <alignment wrapText="1" readingOrder="1"/>
    </xf>
    <xf numFmtId="164" fontId="1" fillId="0" borderId="3" xfId="0" applyNumberFormat="1" applyFont="1" applyBorder="1" applyAlignment="1" applyProtection="1">
      <alignment wrapText="1" readingOrder="1"/>
      <protection locked="0"/>
    </xf>
    <xf numFmtId="164" fontId="1" fillId="0" borderId="1" xfId="0" applyNumberFormat="1" applyFont="1" applyBorder="1" applyAlignment="1" applyProtection="1">
      <alignment wrapText="1" readingOrder="1"/>
      <protection locked="0"/>
    </xf>
    <xf numFmtId="0" fontId="21" fillId="0" borderId="0" xfId="0" applyFont="1" applyAlignment="1">
      <alignment wrapText="1" readingOrder="1"/>
    </xf>
    <xf numFmtId="164" fontId="4" fillId="0" borderId="0" xfId="0" applyNumberFormat="1" applyFont="1" applyAlignment="1" applyProtection="1">
      <alignment wrapText="1" readingOrder="1"/>
      <protection locked="0"/>
    </xf>
    <xf numFmtId="164" fontId="1" fillId="0" borderId="4" xfId="0" applyNumberFormat="1" applyFont="1" applyBorder="1" applyAlignment="1" applyProtection="1">
      <alignment wrapText="1" readingOrder="1"/>
      <protection locked="0"/>
    </xf>
    <xf numFmtId="0" fontId="2" fillId="0" borderId="1" xfId="0" applyFont="1" applyBorder="1" applyAlignment="1" applyProtection="1">
      <alignment horizontal="center" wrapText="1" readingOrder="1"/>
      <protection locked="0"/>
    </xf>
    <xf numFmtId="165" fontId="1" fillId="0" borderId="2" xfId="0" applyNumberFormat="1" applyFont="1" applyBorder="1" applyAlignment="1">
      <alignment horizontal="center" wrapText="1" readingOrder="1"/>
    </xf>
    <xf numFmtId="165" fontId="1" fillId="0" borderId="2" xfId="0" applyNumberFormat="1" applyFont="1" applyBorder="1" applyAlignment="1">
      <alignment horizontal="center" readingOrder="1"/>
    </xf>
    <xf numFmtId="1" fontId="22" fillId="0" borderId="2" xfId="0" applyNumberFormat="1" applyFont="1" applyBorder="1" applyAlignment="1">
      <alignment horizontal="center" wrapText="1" readingOrder="1"/>
    </xf>
    <xf numFmtId="1" fontId="22" fillId="0" borderId="2" xfId="0" quotePrefix="1" applyNumberFormat="1" applyFont="1" applyBorder="1" applyAlignment="1">
      <alignment horizontal="center" wrapText="1" readingOrder="1"/>
    </xf>
    <xf numFmtId="165" fontId="22" fillId="0" borderId="2" xfId="0" quotePrefix="1" applyNumberFormat="1" applyFont="1" applyBorder="1" applyAlignment="1">
      <alignment horizontal="center" wrapText="1" readingOrder="1"/>
    </xf>
    <xf numFmtId="165" fontId="22" fillId="0" borderId="2" xfId="0" quotePrefix="1" applyNumberFormat="1" applyFont="1" applyBorder="1" applyAlignment="1">
      <alignment horizontal="center" readingOrder="1"/>
    </xf>
    <xf numFmtId="3" fontId="1" fillId="0" borderId="0" xfId="0" applyNumberFormat="1" applyFont="1"/>
    <xf numFmtId="4" fontId="1" fillId="0" borderId="0" xfId="0" applyNumberFormat="1" applyFont="1" applyAlignment="1">
      <alignment horizontal="right" wrapText="1"/>
    </xf>
    <xf numFmtId="165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1" fillId="0" borderId="0" xfId="0" applyFont="1"/>
    <xf numFmtId="3" fontId="3" fillId="0" borderId="0" xfId="0" applyNumberFormat="1" applyFont="1"/>
    <xf numFmtId="3" fontId="3" fillId="0" borderId="0" xfId="0" applyNumberFormat="1" applyFont="1" applyAlignment="1">
      <alignment horizontal="center" vertical="center" wrapText="1"/>
    </xf>
    <xf numFmtId="3" fontId="3" fillId="0" borderId="0" xfId="0" quotePrefix="1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 applyAlignment="1">
      <alignment vertical="center"/>
    </xf>
    <xf numFmtId="3" fontId="7" fillId="0" borderId="0" xfId="0" quotePrefix="1" applyNumberFormat="1" applyFont="1" applyAlignment="1">
      <alignment vertical="center"/>
    </xf>
    <xf numFmtId="165" fontId="7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right"/>
    </xf>
    <xf numFmtId="3" fontId="8" fillId="0" borderId="0" xfId="0" applyNumberFormat="1" applyFont="1"/>
    <xf numFmtId="4" fontId="7" fillId="0" borderId="0" xfId="0" quotePrefix="1" applyNumberFormat="1" applyFont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3" fontId="7" fillId="0" borderId="0" xfId="0" quotePrefix="1" applyNumberFormat="1" applyFont="1" applyAlignment="1">
      <alignment horizontal="left" vertical="center"/>
    </xf>
    <xf numFmtId="3" fontId="1" fillId="0" borderId="0" xfId="0" applyNumberFormat="1" applyFont="1" applyAlignment="1">
      <alignment horizontal="left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vertical="center" readingOrder="1"/>
    </xf>
    <xf numFmtId="0" fontId="3" fillId="4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 applyProtection="1">
      <alignment horizontal="center" vertical="center" wrapText="1" readingOrder="1"/>
      <protection locked="0"/>
    </xf>
    <xf numFmtId="165" fontId="3" fillId="4" borderId="2" xfId="0" quotePrefix="1" applyNumberFormat="1" applyFont="1" applyFill="1" applyBorder="1" applyAlignment="1">
      <alignment horizontal="center" vertical="center" wrapText="1"/>
    </xf>
    <xf numFmtId="165" fontId="3" fillId="4" borderId="2" xfId="0" quotePrefix="1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10" fillId="4" borderId="2" xfId="0" quotePrefix="1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 applyProtection="1">
      <alignment horizontal="center" vertical="center" wrapText="1" readingOrder="1"/>
      <protection locked="0"/>
    </xf>
    <xf numFmtId="165" fontId="10" fillId="4" borderId="2" xfId="0" quotePrefix="1" applyNumberFormat="1" applyFont="1" applyFill="1" applyBorder="1" applyAlignment="1">
      <alignment horizontal="center" vertical="center" wrapText="1"/>
    </xf>
    <xf numFmtId="165" fontId="10" fillId="4" borderId="2" xfId="0" quotePrefix="1" applyNumberFormat="1" applyFont="1" applyFill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1" fontId="10" fillId="0" borderId="2" xfId="0" quotePrefix="1" applyNumberFormat="1" applyFont="1" applyBorder="1" applyAlignment="1">
      <alignment horizontal="center" vertical="center"/>
    </xf>
    <xf numFmtId="165" fontId="10" fillId="0" borderId="2" xfId="0" quotePrefix="1" applyNumberFormat="1" applyFont="1" applyBorder="1" applyAlignment="1">
      <alignment horizontal="center" vertical="center"/>
    </xf>
    <xf numFmtId="0" fontId="10" fillId="6" borderId="2" xfId="0" applyFont="1" applyFill="1" applyBorder="1" applyAlignment="1">
      <alignment horizontal="left" vertical="center"/>
    </xf>
    <xf numFmtId="0" fontId="10" fillId="6" borderId="2" xfId="0" applyFont="1" applyFill="1" applyBorder="1" applyAlignment="1">
      <alignment horizontal="left" vertical="center" wrapText="1"/>
    </xf>
    <xf numFmtId="4" fontId="10" fillId="6" borderId="2" xfId="0" applyNumberFormat="1" applyFont="1" applyFill="1" applyBorder="1" applyAlignment="1">
      <alignment horizontal="right" vertical="center"/>
    </xf>
    <xf numFmtId="165" fontId="10" fillId="6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4" fontId="10" fillId="0" borderId="2" xfId="0" applyNumberFormat="1" applyFont="1" applyBorder="1" applyAlignment="1">
      <alignment horizontal="right" vertical="center"/>
    </xf>
    <xf numFmtId="165" fontId="10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horizontal="right" vertical="center"/>
    </xf>
    <xf numFmtId="165" fontId="12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4" fontId="13" fillId="0" borderId="2" xfId="0" applyNumberFormat="1" applyFont="1" applyBorder="1" applyAlignment="1">
      <alignment horizontal="right" vertical="center"/>
    </xf>
    <xf numFmtId="165" fontId="13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23" fillId="6" borderId="6" xfId="0" applyFont="1" applyFill="1" applyBorder="1" applyAlignment="1">
      <alignment horizontal="left" vertical="center" wrapText="1"/>
    </xf>
    <xf numFmtId="0" fontId="23" fillId="6" borderId="2" xfId="0" applyFont="1" applyFill="1" applyBorder="1" applyAlignment="1">
      <alignment vertical="center" wrapText="1"/>
    </xf>
    <xf numFmtId="4" fontId="10" fillId="6" borderId="7" xfId="0" applyNumberFormat="1" applyFont="1" applyFill="1" applyBorder="1" applyAlignment="1">
      <alignment horizontal="right" vertical="center"/>
    </xf>
    <xf numFmtId="0" fontId="23" fillId="0" borderId="6" xfId="0" applyFont="1" applyBorder="1" applyAlignment="1">
      <alignment horizontal="left" vertical="center" wrapText="1"/>
    </xf>
    <xf numFmtId="0" fontId="23" fillId="7" borderId="2" xfId="0" applyFont="1" applyFill="1" applyBorder="1" applyAlignment="1">
      <alignment vertical="center" wrapText="1"/>
    </xf>
    <xf numFmtId="4" fontId="10" fillId="0" borderId="7" xfId="0" applyNumberFormat="1" applyFont="1" applyBorder="1" applyAlignment="1">
      <alignment horizontal="right" vertical="center"/>
    </xf>
    <xf numFmtId="0" fontId="24" fillId="0" borderId="6" xfId="0" applyFont="1" applyBorder="1" applyAlignment="1">
      <alignment horizontal="left" vertical="center" wrapText="1"/>
    </xf>
    <xf numFmtId="0" fontId="24" fillId="7" borderId="2" xfId="0" applyFont="1" applyFill="1" applyBorder="1" applyAlignment="1">
      <alignment vertical="center" wrapText="1"/>
    </xf>
    <xf numFmtId="4" fontId="13" fillId="0" borderId="7" xfId="0" applyNumberFormat="1" applyFont="1" applyBorder="1" applyAlignment="1">
      <alignment horizontal="right" vertical="center"/>
    </xf>
    <xf numFmtId="0" fontId="24" fillId="0" borderId="8" xfId="0" applyFont="1" applyBorder="1" applyAlignment="1">
      <alignment horizontal="left" vertical="center" wrapText="1"/>
    </xf>
    <xf numFmtId="0" fontId="24" fillId="7" borderId="5" xfId="0" applyFont="1" applyFill="1" applyBorder="1" applyAlignment="1">
      <alignment vertical="center" wrapText="1"/>
    </xf>
    <xf numFmtId="4" fontId="13" fillId="0" borderId="9" xfId="0" applyNumberFormat="1" applyFont="1" applyBorder="1" applyAlignment="1">
      <alignment horizontal="right" vertical="center"/>
    </xf>
    <xf numFmtId="4" fontId="13" fillId="0" borderId="5" xfId="0" applyNumberFormat="1" applyFont="1" applyBorder="1" applyAlignment="1">
      <alignment horizontal="right" vertical="center"/>
    </xf>
    <xf numFmtId="4" fontId="10" fillId="6" borderId="2" xfId="0" quotePrefix="1" applyNumberFormat="1" applyFont="1" applyFill="1" applyBorder="1" applyAlignment="1">
      <alignment horizontal="right" vertical="center"/>
    </xf>
    <xf numFmtId="0" fontId="10" fillId="4" borderId="2" xfId="0" quotePrefix="1" applyFont="1" applyFill="1" applyBorder="1" applyAlignment="1">
      <alignment horizontal="center" vertical="center" wrapText="1"/>
    </xf>
    <xf numFmtId="3" fontId="12" fillId="0" borderId="2" xfId="0" quotePrefix="1" applyNumberFormat="1" applyFont="1" applyBorder="1" applyAlignment="1">
      <alignment horizontal="left" vertical="center"/>
    </xf>
    <xf numFmtId="4" fontId="12" fillId="0" borderId="2" xfId="0" quotePrefix="1" applyNumberFormat="1" applyFont="1" applyBorder="1" applyAlignment="1">
      <alignment horizontal="right" vertical="center" wrapText="1"/>
    </xf>
    <xf numFmtId="3" fontId="12" fillId="4" borderId="2" xfId="0" quotePrefix="1" applyNumberFormat="1" applyFont="1" applyFill="1" applyBorder="1" applyAlignment="1">
      <alignment horizontal="left" vertical="center"/>
    </xf>
    <xf numFmtId="3" fontId="12" fillId="4" borderId="2" xfId="0" quotePrefix="1" applyNumberFormat="1" applyFont="1" applyFill="1" applyBorder="1" applyAlignment="1">
      <alignment horizontal="center" vertical="center"/>
    </xf>
    <xf numFmtId="165" fontId="12" fillId="4" borderId="2" xfId="0" applyNumberFormat="1" applyFont="1" applyFill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 wrapText="1"/>
    </xf>
    <xf numFmtId="1" fontId="10" fillId="0" borderId="2" xfId="0" quotePrefix="1" applyNumberFormat="1" applyFont="1" applyBorder="1" applyAlignment="1">
      <alignment horizontal="center" vertical="center" wrapText="1"/>
    </xf>
    <xf numFmtId="3" fontId="10" fillId="6" borderId="2" xfId="0" applyNumberFormat="1" applyFont="1" applyFill="1" applyBorder="1" applyAlignment="1">
      <alignment horizontal="left" vertical="center" wrapText="1"/>
    </xf>
    <xf numFmtId="4" fontId="10" fillId="6" borderId="2" xfId="0" applyNumberFormat="1" applyFont="1" applyFill="1" applyBorder="1" applyAlignment="1">
      <alignment horizontal="right" vertical="center" wrapText="1"/>
    </xf>
    <xf numFmtId="165" fontId="10" fillId="6" borderId="2" xfId="0" applyNumberFormat="1" applyFont="1" applyFill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left" vertical="center" wrapText="1"/>
    </xf>
    <xf numFmtId="4" fontId="10" fillId="0" borderId="2" xfId="0" applyNumberFormat="1" applyFont="1" applyBorder="1" applyAlignment="1">
      <alignment horizontal="right" vertical="center" wrapText="1"/>
    </xf>
    <xf numFmtId="165" fontId="10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165" fontId="12" fillId="0" borderId="2" xfId="0" applyNumberFormat="1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left" vertical="center" wrapText="1"/>
    </xf>
    <xf numFmtId="4" fontId="14" fillId="0" borderId="2" xfId="0" applyNumberFormat="1" applyFont="1" applyBorder="1" applyAlignment="1">
      <alignment horizontal="right" vertical="center" wrapText="1"/>
    </xf>
    <xf numFmtId="4" fontId="13" fillId="0" borderId="7" xfId="0" applyNumberFormat="1" applyFont="1" applyBorder="1" applyAlignment="1">
      <alignment horizontal="right" vertical="center" wrapText="1"/>
    </xf>
    <xf numFmtId="3" fontId="10" fillId="6" borderId="10" xfId="0" applyNumberFormat="1" applyFont="1" applyFill="1" applyBorder="1" applyAlignment="1">
      <alignment horizontal="left" vertical="center"/>
    </xf>
    <xf numFmtId="3" fontId="10" fillId="6" borderId="10" xfId="0" applyNumberFormat="1" applyFont="1" applyFill="1" applyBorder="1" applyAlignment="1">
      <alignment vertical="center"/>
    </xf>
    <xf numFmtId="3" fontId="10" fillId="0" borderId="0" xfId="0" applyNumberFormat="1" applyFont="1" applyAlignment="1">
      <alignment horizontal="left" vertical="center"/>
    </xf>
    <xf numFmtId="3" fontId="10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right" vertical="center" wrapText="1"/>
    </xf>
    <xf numFmtId="165" fontId="10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/>
    </xf>
    <xf numFmtId="4" fontId="12" fillId="4" borderId="2" xfId="0" quotePrefix="1" applyNumberFormat="1" applyFont="1" applyFill="1" applyBorder="1" applyAlignment="1">
      <alignment horizontal="right" vertical="center" wrapText="1"/>
    </xf>
    <xf numFmtId="0" fontId="1" fillId="0" borderId="13" xfId="0" applyFont="1" applyBorder="1"/>
    <xf numFmtId="0" fontId="6" fillId="8" borderId="14" xfId="0" applyFont="1" applyFill="1" applyBorder="1" applyAlignment="1" applyProtection="1">
      <alignment horizontal="center" vertical="center" wrapText="1" readingOrder="1"/>
      <protection locked="0"/>
    </xf>
    <xf numFmtId="0" fontId="6" fillId="0" borderId="13" xfId="0" applyFont="1" applyBorder="1" applyAlignment="1" applyProtection="1">
      <alignment horizontal="center" vertical="center" wrapText="1" readingOrder="1"/>
      <protection locked="0"/>
    </xf>
    <xf numFmtId="0" fontId="15" fillId="2" borderId="15" xfId="0" applyFont="1" applyFill="1" applyBorder="1" applyAlignment="1" applyProtection="1">
      <alignment horizontal="left" vertical="top" wrapText="1" readingOrder="1"/>
      <protection locked="0"/>
    </xf>
    <xf numFmtId="0" fontId="15" fillId="2" borderId="15" xfId="0" applyFont="1" applyFill="1" applyBorder="1" applyAlignment="1" applyProtection="1">
      <alignment horizontal="right" vertical="top" wrapText="1" readingOrder="1"/>
      <protection locked="0"/>
    </xf>
    <xf numFmtId="4" fontId="15" fillId="2" borderId="15" xfId="0" applyNumberFormat="1" applyFont="1" applyFill="1" applyBorder="1" applyAlignment="1" applyProtection="1">
      <alignment horizontal="right" vertical="top" wrapText="1" readingOrder="1"/>
      <protection locked="0"/>
    </xf>
    <xf numFmtId="2" fontId="15" fillId="2" borderId="15" xfId="0" applyNumberFormat="1" applyFont="1" applyFill="1" applyBorder="1" applyAlignment="1" applyProtection="1">
      <alignment horizontal="right" vertical="top" wrapText="1" readingOrder="1"/>
      <protection locked="0"/>
    </xf>
    <xf numFmtId="0" fontId="16" fillId="8" borderId="14" xfId="0" applyFont="1" applyFill="1" applyBorder="1" applyAlignment="1" applyProtection="1">
      <alignment horizontal="left" vertical="center" wrapText="1" readingOrder="1"/>
      <protection locked="0"/>
    </xf>
    <xf numFmtId="0" fontId="16" fillId="8" borderId="14" xfId="0" applyFont="1" applyFill="1" applyBorder="1" applyAlignment="1" applyProtection="1">
      <alignment horizontal="right" vertical="center" wrapText="1" readingOrder="1"/>
      <protection locked="0"/>
    </xf>
    <xf numFmtId="4" fontId="16" fillId="8" borderId="14" xfId="0" applyNumberFormat="1" applyFont="1" applyFill="1" applyBorder="1" applyAlignment="1" applyProtection="1">
      <alignment horizontal="right" vertical="center" wrapText="1" readingOrder="1"/>
      <protection locked="0"/>
    </xf>
    <xf numFmtId="2" fontId="16" fillId="8" borderId="14" xfId="0" applyNumberFormat="1" applyFont="1" applyFill="1" applyBorder="1" applyAlignment="1" applyProtection="1">
      <alignment horizontal="right" vertical="center" wrapText="1" readingOrder="1"/>
      <protection locked="0"/>
    </xf>
    <xf numFmtId="0" fontId="17" fillId="0" borderId="13" xfId="0" applyFont="1" applyBorder="1" applyAlignment="1" applyProtection="1">
      <alignment horizontal="left" vertical="top" wrapText="1" readingOrder="1"/>
      <protection locked="0"/>
    </xf>
    <xf numFmtId="0" fontId="1" fillId="0" borderId="13" xfId="0" applyFont="1" applyBorder="1" applyAlignment="1" applyProtection="1">
      <alignment vertical="top" wrapText="1"/>
      <protection locked="0"/>
    </xf>
    <xf numFmtId="0" fontId="17" fillId="0" borderId="13" xfId="0" applyFont="1" applyBorder="1" applyAlignment="1" applyProtection="1">
      <alignment horizontal="right" vertical="top" wrapText="1" readingOrder="1"/>
      <protection locked="0"/>
    </xf>
    <xf numFmtId="4" fontId="17" fillId="0" borderId="13" xfId="0" applyNumberFormat="1" applyFont="1" applyBorder="1" applyAlignment="1" applyProtection="1">
      <alignment horizontal="right" vertical="top" wrapText="1" readingOrder="1"/>
      <protection locked="0"/>
    </xf>
    <xf numFmtId="164" fontId="17" fillId="0" borderId="13" xfId="0" applyNumberFormat="1" applyFont="1" applyBorder="1" applyAlignment="1" applyProtection="1">
      <alignment horizontal="right" vertical="top" wrapText="1" readingOrder="1"/>
      <protection locked="0"/>
    </xf>
    <xf numFmtId="2" fontId="17" fillId="0" borderId="13" xfId="0" applyNumberFormat="1" applyFont="1" applyBorder="1" applyAlignment="1" applyProtection="1">
      <alignment horizontal="right" vertical="top" wrapText="1" readingOrder="1"/>
      <protection locked="0"/>
    </xf>
    <xf numFmtId="0" fontId="25" fillId="10" borderId="14" xfId="0" applyFont="1" applyFill="1" applyBorder="1" applyAlignment="1" applyProtection="1">
      <alignment horizontal="left" vertical="center" wrapText="1" readingOrder="1"/>
      <protection locked="0"/>
    </xf>
    <xf numFmtId="0" fontId="26" fillId="10" borderId="14" xfId="0" applyFont="1" applyFill="1" applyBorder="1" applyAlignment="1" applyProtection="1">
      <alignment horizontal="right" vertical="center" wrapText="1" readingOrder="1"/>
      <protection locked="0"/>
    </xf>
    <xf numFmtId="4" fontId="26" fillId="10" borderId="14" xfId="0" applyNumberFormat="1" applyFont="1" applyFill="1" applyBorder="1" applyAlignment="1" applyProtection="1">
      <alignment horizontal="right" vertical="center" wrapText="1" readingOrder="1"/>
      <protection locked="0"/>
    </xf>
    <xf numFmtId="2" fontId="26" fillId="10" borderId="14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0" borderId="13" xfId="0" applyFont="1" applyBorder="1" applyAlignment="1" applyProtection="1">
      <alignment horizontal="left" vertical="top" wrapText="1" readingOrder="1"/>
      <protection locked="0"/>
    </xf>
    <xf numFmtId="0" fontId="6" fillId="0" borderId="13" xfId="0" applyFont="1" applyBorder="1" applyAlignment="1" applyProtection="1">
      <alignment horizontal="right" vertical="top" wrapText="1" readingOrder="1"/>
      <protection locked="0"/>
    </xf>
    <xf numFmtId="4" fontId="6" fillId="0" borderId="13" xfId="0" applyNumberFormat="1" applyFont="1" applyBorder="1" applyAlignment="1" applyProtection="1">
      <alignment horizontal="right" vertical="top" wrapText="1" readingOrder="1"/>
      <protection locked="0"/>
    </xf>
    <xf numFmtId="2" fontId="6" fillId="0" borderId="13" xfId="0" applyNumberFormat="1" applyFont="1" applyBorder="1" applyAlignment="1" applyProtection="1">
      <alignment horizontal="right" vertical="top" wrapText="1" readingOrder="1"/>
      <protection locked="0"/>
    </xf>
    <xf numFmtId="0" fontId="6" fillId="0" borderId="14" xfId="0" applyFont="1" applyBorder="1" applyAlignment="1" applyProtection="1">
      <alignment horizontal="left" vertical="top" wrapText="1" readingOrder="1"/>
      <protection locked="0"/>
    </xf>
    <xf numFmtId="0" fontId="6" fillId="0" borderId="14" xfId="0" applyFont="1" applyBorder="1" applyAlignment="1" applyProtection="1">
      <alignment horizontal="right" vertical="top" wrapText="1" readingOrder="1"/>
      <protection locked="0"/>
    </xf>
    <xf numFmtId="4" fontId="6" fillId="0" borderId="14" xfId="0" applyNumberFormat="1" applyFont="1" applyBorder="1" applyAlignment="1" applyProtection="1">
      <alignment horizontal="right" vertical="top" wrapText="1" readingOrder="1"/>
      <protection locked="0"/>
    </xf>
    <xf numFmtId="2" fontId="6" fillId="0" borderId="14" xfId="0" applyNumberFormat="1" applyFont="1" applyBorder="1" applyAlignment="1" applyProtection="1">
      <alignment horizontal="right" vertical="top" wrapText="1" readingOrder="1"/>
      <protection locked="0"/>
    </xf>
    <xf numFmtId="0" fontId="4" fillId="0" borderId="13" xfId="0" applyFont="1" applyBorder="1" applyAlignment="1" applyProtection="1">
      <alignment horizontal="left" vertical="top" wrapText="1" readingOrder="1"/>
      <protection locked="0"/>
    </xf>
    <xf numFmtId="0" fontId="4" fillId="0" borderId="14" xfId="0" applyFont="1" applyBorder="1" applyAlignment="1" applyProtection="1">
      <alignment horizontal="left" vertical="top" wrapText="1" readingOrder="1"/>
      <protection locked="0"/>
    </xf>
    <xf numFmtId="0" fontId="4" fillId="0" borderId="14" xfId="0" applyFont="1" applyBorder="1" applyAlignment="1" applyProtection="1">
      <alignment horizontal="right" vertical="top" wrapText="1" readingOrder="1"/>
      <protection locked="0"/>
    </xf>
    <xf numFmtId="4" fontId="4" fillId="0" borderId="14" xfId="0" applyNumberFormat="1" applyFont="1" applyBorder="1" applyAlignment="1" applyProtection="1">
      <alignment horizontal="right" vertical="top" wrapText="1" readingOrder="1"/>
      <protection locked="0"/>
    </xf>
    <xf numFmtId="164" fontId="4" fillId="0" borderId="14" xfId="0" applyNumberFormat="1" applyFont="1" applyBorder="1" applyAlignment="1" applyProtection="1">
      <alignment horizontal="right" vertical="top" wrapText="1" readingOrder="1"/>
      <protection locked="0"/>
    </xf>
    <xf numFmtId="164" fontId="4" fillId="0" borderId="14" xfId="0" applyNumberFormat="1" applyFont="1" applyBorder="1" applyAlignment="1" applyProtection="1">
      <alignment vertical="top" wrapText="1" readingOrder="1"/>
      <protection locked="0"/>
    </xf>
    <xf numFmtId="2" fontId="4" fillId="0" borderId="14" xfId="0" applyNumberFormat="1" applyFont="1" applyBorder="1" applyAlignment="1" applyProtection="1">
      <alignment horizontal="right" vertical="top" wrapText="1" readingOrder="1"/>
      <protection locked="0"/>
    </xf>
    <xf numFmtId="0" fontId="4" fillId="0" borderId="13" xfId="0" applyFont="1" applyBorder="1" applyAlignment="1" applyProtection="1">
      <alignment horizontal="right" vertical="top" wrapText="1" readingOrder="1"/>
      <protection locked="0"/>
    </xf>
    <xf numFmtId="164" fontId="4" fillId="0" borderId="13" xfId="0" applyNumberFormat="1" applyFont="1" applyBorder="1" applyAlignment="1" applyProtection="1">
      <alignment horizontal="right" vertical="top" wrapText="1" readingOrder="1"/>
      <protection locked="0"/>
    </xf>
    <xf numFmtId="164" fontId="4" fillId="0" borderId="13" xfId="0" applyNumberFormat="1" applyFont="1" applyBorder="1" applyAlignment="1" applyProtection="1">
      <alignment vertical="top" wrapText="1" readingOrder="1"/>
      <protection locked="0"/>
    </xf>
    <xf numFmtId="2" fontId="4" fillId="0" borderId="13" xfId="0" applyNumberFormat="1" applyFont="1" applyBorder="1" applyAlignment="1" applyProtection="1">
      <alignment horizontal="right" vertical="top" wrapText="1" readingOrder="1"/>
      <protection locked="0"/>
    </xf>
    <xf numFmtId="0" fontId="4" fillId="0" borderId="15" xfId="0" applyFont="1" applyBorder="1" applyAlignment="1" applyProtection="1">
      <alignment horizontal="left" vertical="top" wrapText="1" readingOrder="1"/>
      <protection locked="0"/>
    </xf>
    <xf numFmtId="0" fontId="4" fillId="0" borderId="15" xfId="0" applyFont="1" applyBorder="1" applyAlignment="1" applyProtection="1">
      <alignment horizontal="right" vertical="top" wrapText="1" readingOrder="1"/>
      <protection locked="0"/>
    </xf>
    <xf numFmtId="4" fontId="4" fillId="0" borderId="15" xfId="0" applyNumberFormat="1" applyFont="1" applyBorder="1" applyAlignment="1" applyProtection="1">
      <alignment horizontal="right" vertical="top" wrapText="1" readingOrder="1"/>
      <protection locked="0"/>
    </xf>
    <xf numFmtId="164" fontId="4" fillId="0" borderId="15" xfId="0" applyNumberFormat="1" applyFont="1" applyBorder="1" applyAlignment="1" applyProtection="1">
      <alignment horizontal="right" vertical="top" wrapText="1" readingOrder="1"/>
      <protection locked="0"/>
    </xf>
    <xf numFmtId="164" fontId="4" fillId="0" borderId="15" xfId="0" applyNumberFormat="1" applyFont="1" applyBorder="1" applyAlignment="1" applyProtection="1">
      <alignment vertical="top" wrapText="1" readingOrder="1"/>
      <protection locked="0"/>
    </xf>
    <xf numFmtId="2" fontId="4" fillId="0" borderId="15" xfId="0" applyNumberFormat="1" applyFont="1" applyBorder="1" applyAlignment="1" applyProtection="1">
      <alignment horizontal="right" vertical="top" wrapText="1" readingOrder="1"/>
      <protection locked="0"/>
    </xf>
    <xf numFmtId="0" fontId="6" fillId="0" borderId="15" xfId="0" applyFont="1" applyBorder="1" applyAlignment="1" applyProtection="1">
      <alignment horizontal="left" vertical="top" wrapText="1" readingOrder="1"/>
      <protection locked="0"/>
    </xf>
    <xf numFmtId="0" fontId="6" fillId="0" borderId="15" xfId="0" applyFont="1" applyBorder="1" applyAlignment="1" applyProtection="1">
      <alignment horizontal="right" vertical="top" wrapText="1" readingOrder="1"/>
      <protection locked="0"/>
    </xf>
    <xf numFmtId="4" fontId="6" fillId="0" borderId="15" xfId="0" applyNumberFormat="1" applyFont="1" applyBorder="1" applyAlignment="1" applyProtection="1">
      <alignment horizontal="right" vertical="top" wrapText="1" readingOrder="1"/>
      <protection locked="0"/>
    </xf>
    <xf numFmtId="4" fontId="1" fillId="0" borderId="13" xfId="0" applyNumberFormat="1" applyFont="1" applyBorder="1" applyAlignment="1">
      <alignment vertical="top"/>
    </xf>
    <xf numFmtId="2" fontId="6" fillId="0" borderId="15" xfId="0" applyNumberFormat="1" applyFont="1" applyBorder="1" applyAlignment="1" applyProtection="1">
      <alignment horizontal="right" vertical="top" wrapText="1" readingOrder="1"/>
      <protection locked="0"/>
    </xf>
    <xf numFmtId="0" fontId="6" fillId="0" borderId="16" xfId="0" applyFont="1" applyBorder="1" applyAlignment="1" applyProtection="1">
      <alignment horizontal="left" vertical="top" wrapText="1" readingOrder="1"/>
      <protection locked="0"/>
    </xf>
    <xf numFmtId="0" fontId="6" fillId="0" borderId="16" xfId="0" applyFont="1" applyBorder="1" applyAlignment="1" applyProtection="1">
      <alignment horizontal="right" vertical="top" wrapText="1" readingOrder="1"/>
      <protection locked="0"/>
    </xf>
    <xf numFmtId="4" fontId="6" fillId="0" borderId="16" xfId="0" applyNumberFormat="1" applyFont="1" applyBorder="1" applyAlignment="1" applyProtection="1">
      <alignment horizontal="right" vertical="top" wrapText="1" readingOrder="1"/>
      <protection locked="0"/>
    </xf>
    <xf numFmtId="2" fontId="6" fillId="0" borderId="16" xfId="0" applyNumberFormat="1" applyFont="1" applyBorder="1" applyAlignment="1" applyProtection="1">
      <alignment horizontal="right" vertical="top" wrapText="1" readingOrder="1"/>
      <protection locked="0"/>
    </xf>
    <xf numFmtId="0" fontId="16" fillId="9" borderId="14" xfId="0" applyFont="1" applyFill="1" applyBorder="1" applyAlignment="1" applyProtection="1">
      <alignment horizontal="left" vertical="center" wrapText="1" readingOrder="1"/>
      <protection locked="0"/>
    </xf>
    <xf numFmtId="0" fontId="16" fillId="9" borderId="14" xfId="0" applyFont="1" applyFill="1" applyBorder="1" applyAlignment="1" applyProtection="1">
      <alignment horizontal="right" vertical="center" wrapText="1" readingOrder="1"/>
      <protection locked="0"/>
    </xf>
    <xf numFmtId="4" fontId="16" fillId="9" borderId="14" xfId="0" applyNumberFormat="1" applyFont="1" applyFill="1" applyBorder="1" applyAlignment="1" applyProtection="1">
      <alignment horizontal="right" vertical="center" wrapText="1" readingOrder="1"/>
      <protection locked="0"/>
    </xf>
    <xf numFmtId="2" fontId="16" fillId="9" borderId="14" xfId="0" applyNumberFormat="1" applyFont="1" applyFill="1" applyBorder="1" applyAlignment="1" applyProtection="1">
      <alignment horizontal="right" vertical="center" wrapText="1" readingOrder="1"/>
      <protection locked="0"/>
    </xf>
    <xf numFmtId="0" fontId="17" fillId="0" borderId="13" xfId="0" applyFont="1" applyBorder="1" applyAlignment="1" applyProtection="1">
      <alignment horizontal="left" vertical="center" wrapText="1" readingOrder="1"/>
      <protection locked="0"/>
    </xf>
    <xf numFmtId="0" fontId="17" fillId="0" borderId="13" xfId="0" applyFont="1" applyBorder="1" applyAlignment="1" applyProtection="1">
      <alignment horizontal="right" vertical="center" wrapText="1" readingOrder="1"/>
      <protection locked="0"/>
    </xf>
    <xf numFmtId="4" fontId="17" fillId="0" borderId="13" xfId="0" applyNumberFormat="1" applyFont="1" applyBorder="1" applyAlignment="1" applyProtection="1">
      <alignment horizontal="right" vertical="center" wrapText="1" readingOrder="1"/>
      <protection locked="0"/>
    </xf>
    <xf numFmtId="2" fontId="17" fillId="0" borderId="13" xfId="0" applyNumberFormat="1" applyFont="1" applyBorder="1" applyAlignment="1" applyProtection="1">
      <alignment horizontal="right" vertical="center" wrapText="1" readingOrder="1"/>
      <protection locked="0"/>
    </xf>
    <xf numFmtId="0" fontId="17" fillId="0" borderId="13" xfId="0" applyFont="1" applyBorder="1" applyAlignment="1" applyProtection="1">
      <alignment vertical="center" wrapText="1" readingOrder="1"/>
      <protection locked="0"/>
    </xf>
    <xf numFmtId="0" fontId="4" fillId="0" borderId="16" xfId="0" applyFont="1" applyBorder="1" applyAlignment="1" applyProtection="1">
      <alignment horizontal="left" vertical="top" wrapText="1" readingOrder="1"/>
      <protection locked="0"/>
    </xf>
    <xf numFmtId="0" fontId="6" fillId="12" borderId="17" xfId="0" applyFont="1" applyFill="1" applyBorder="1" applyAlignment="1" applyProtection="1">
      <alignment horizontal="center" vertical="center" wrapText="1" readingOrder="1"/>
      <protection locked="0"/>
    </xf>
    <xf numFmtId="0" fontId="3" fillId="12" borderId="18" xfId="0" applyFont="1" applyFill="1" applyBorder="1" applyAlignment="1" applyProtection="1">
      <alignment vertical="center" wrapText="1" readingOrder="1"/>
      <protection locked="0"/>
    </xf>
    <xf numFmtId="164" fontId="3" fillId="12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1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14" fillId="0" borderId="0" xfId="0" applyFont="1"/>
    <xf numFmtId="0" fontId="2" fillId="0" borderId="14" xfId="1" applyFont="1" applyBorder="1" applyAlignment="1" applyProtection="1">
      <alignment horizontal="left" vertical="top" wrapText="1" readingOrder="1"/>
      <protection locked="0"/>
    </xf>
    <xf numFmtId="0" fontId="4" fillId="0" borderId="0" xfId="1" applyFont="1" applyAlignment="1" applyProtection="1">
      <alignment horizontal="left" vertical="top" wrapText="1" readingOrder="1"/>
      <protection locked="0"/>
    </xf>
    <xf numFmtId="0" fontId="13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 wrapText="1"/>
    </xf>
    <xf numFmtId="4" fontId="12" fillId="0" borderId="7" xfId="0" applyNumberFormat="1" applyFont="1" applyBorder="1" applyAlignment="1">
      <alignment horizontal="right" vertical="center"/>
    </xf>
    <xf numFmtId="4" fontId="10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 vertical="center"/>
    </xf>
    <xf numFmtId="0" fontId="13" fillId="0" borderId="10" xfId="0" applyFont="1" applyBorder="1" applyAlignment="1">
      <alignment horizontal="left" vertical="center"/>
    </xf>
    <xf numFmtId="3" fontId="13" fillId="0" borderId="10" xfId="0" applyNumberFormat="1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/>
    </xf>
    <xf numFmtId="3" fontId="10" fillId="0" borderId="10" xfId="0" applyNumberFormat="1" applyFont="1" applyBorder="1" applyAlignment="1">
      <alignment horizontal="left" vertical="center" wrapText="1"/>
    </xf>
    <xf numFmtId="4" fontId="10" fillId="0" borderId="7" xfId="0" applyNumberFormat="1" applyFont="1" applyBorder="1" applyAlignment="1">
      <alignment horizontal="right" vertical="center" wrapText="1"/>
    </xf>
    <xf numFmtId="164" fontId="6" fillId="0" borderId="15" xfId="0" applyNumberFormat="1" applyFont="1" applyBorder="1" applyAlignment="1" applyProtection="1">
      <alignment vertical="top" wrapText="1" readingOrder="1"/>
      <protection locked="0"/>
    </xf>
    <xf numFmtId="2" fontId="4" fillId="0" borderId="16" xfId="0" applyNumberFormat="1" applyFont="1" applyBorder="1" applyAlignment="1" applyProtection="1">
      <alignment horizontal="right" vertical="top" wrapText="1" readingOrder="1"/>
      <protection locked="0"/>
    </xf>
    <xf numFmtId="164" fontId="6" fillId="0" borderId="14" xfId="0" applyNumberFormat="1" applyFont="1" applyBorder="1" applyAlignment="1" applyProtection="1">
      <alignment vertical="top" wrapText="1" readingOrder="1"/>
      <protection locked="0"/>
    </xf>
    <xf numFmtId="166" fontId="6" fillId="0" borderId="14" xfId="0" applyNumberFormat="1" applyFont="1" applyBorder="1" applyAlignment="1" applyProtection="1">
      <alignment horizontal="right" vertical="top" wrapText="1" readingOrder="1"/>
      <protection locked="0"/>
    </xf>
    <xf numFmtId="0" fontId="0" fillId="0" borderId="11" xfId="0" applyBorder="1"/>
    <xf numFmtId="0" fontId="1" fillId="0" borderId="0" xfId="0" applyFont="1" applyAlignment="1" applyProtection="1">
      <alignment horizontal="center" vertical="center" wrapText="1" readingOrder="1"/>
      <protection locked="0"/>
    </xf>
    <xf numFmtId="164" fontId="1" fillId="0" borderId="0" xfId="0" applyNumberFormat="1" applyFont="1" applyAlignment="1" applyProtection="1">
      <alignment horizontal="center" vertical="center" wrapText="1" readingOrder="1"/>
      <protection locked="0"/>
    </xf>
    <xf numFmtId="4" fontId="1" fillId="0" borderId="0" xfId="0" applyNumberFormat="1" applyFont="1" applyAlignment="1">
      <alignment horizontal="center" vertical="center"/>
    </xf>
    <xf numFmtId="4" fontId="3" fillId="12" borderId="18" xfId="0" applyNumberFormat="1" applyFont="1" applyFill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top" wrapText="1" readingOrder="1"/>
      <protection locked="0"/>
    </xf>
    <xf numFmtId="0" fontId="6" fillId="11" borderId="21" xfId="0" applyFont="1" applyFill="1" applyBorder="1" applyAlignment="1" applyProtection="1">
      <alignment horizontal="left" vertical="top" wrapText="1" readingOrder="1"/>
      <protection locked="0"/>
    </xf>
    <xf numFmtId="0" fontId="6" fillId="11" borderId="21" xfId="0" applyFont="1" applyFill="1" applyBorder="1" applyAlignment="1" applyProtection="1">
      <alignment horizontal="right" vertical="top" wrapText="1" readingOrder="1"/>
      <protection locked="0"/>
    </xf>
    <xf numFmtId="164" fontId="6" fillId="11" borderId="21" xfId="0" applyNumberFormat="1" applyFont="1" applyFill="1" applyBorder="1" applyAlignment="1" applyProtection="1">
      <alignment horizontal="right" vertical="top" wrapText="1" readingOrder="1"/>
      <protection locked="0"/>
    </xf>
    <xf numFmtId="2" fontId="6" fillId="11" borderId="21" xfId="0" applyNumberFormat="1" applyFont="1" applyFill="1" applyBorder="1" applyAlignment="1" applyProtection="1">
      <alignment horizontal="right" vertical="top" wrapText="1" readingOrder="1"/>
      <protection locked="0"/>
    </xf>
    <xf numFmtId="0" fontId="28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8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10" fillId="3" borderId="2" xfId="0" applyFont="1" applyFill="1" applyBorder="1" applyAlignment="1">
      <alignment horizontal="left" vertical="center" wrapText="1"/>
    </xf>
    <xf numFmtId="3" fontId="10" fillId="4" borderId="2" xfId="0" quotePrefix="1" applyNumberFormat="1" applyFont="1" applyFill="1" applyBorder="1" applyAlignment="1">
      <alignment horizontal="left" vertical="center"/>
    </xf>
    <xf numFmtId="3" fontId="29" fillId="4" borderId="2" xfId="0" quotePrefix="1" applyNumberFormat="1" applyFont="1" applyFill="1" applyBorder="1" applyAlignment="1">
      <alignment horizontal="center" vertical="center"/>
    </xf>
    <xf numFmtId="0" fontId="1" fillId="0" borderId="2" xfId="0" applyFont="1" applyBorder="1"/>
    <xf numFmtId="4" fontId="14" fillId="0" borderId="2" xfId="0" applyNumberFormat="1" applyFont="1" applyBorder="1"/>
    <xf numFmtId="4" fontId="1" fillId="0" borderId="2" xfId="0" applyNumberFormat="1" applyFont="1" applyBorder="1"/>
    <xf numFmtId="4" fontId="4" fillId="3" borderId="2" xfId="0" applyNumberFormat="1" applyFont="1" applyFill="1" applyBorder="1" applyAlignment="1">
      <alignment horizontal="right"/>
    </xf>
    <xf numFmtId="4" fontId="11" fillId="3" borderId="2" xfId="0" applyNumberFormat="1" applyFont="1" applyFill="1" applyBorder="1" applyAlignment="1">
      <alignment horizontal="right"/>
    </xf>
    <xf numFmtId="4" fontId="10" fillId="0" borderId="2" xfId="0" applyNumberFormat="1" applyFont="1" applyBorder="1"/>
    <xf numFmtId="166" fontId="1" fillId="0" borderId="4" xfId="0" applyNumberFormat="1" applyFont="1" applyBorder="1" applyAlignment="1" applyProtection="1">
      <alignment wrapText="1" readingOrder="1"/>
      <protection locked="0"/>
    </xf>
    <xf numFmtId="4" fontId="0" fillId="0" borderId="0" xfId="0" applyNumberFormat="1" applyAlignment="1">
      <alignment vertical="top"/>
    </xf>
    <xf numFmtId="4" fontId="1" fillId="0" borderId="13" xfId="0" applyNumberFormat="1" applyFont="1" applyBorder="1" applyAlignment="1" applyProtection="1">
      <alignment horizontal="right" vertical="top" wrapText="1" readingOrder="1"/>
      <protection locked="0"/>
    </xf>
    <xf numFmtId="0" fontId="30" fillId="0" borderId="0" xfId="0" applyFont="1" applyAlignment="1">
      <alignment vertical="center"/>
    </xf>
    <xf numFmtId="0" fontId="27" fillId="6" borderId="8" xfId="0" applyFont="1" applyFill="1" applyBorder="1" applyAlignment="1">
      <alignment horizontal="left" vertical="center" wrapText="1"/>
    </xf>
    <xf numFmtId="0" fontId="27" fillId="6" borderId="5" xfId="0" applyFont="1" applyFill="1" applyBorder="1" applyAlignment="1">
      <alignment vertical="center" wrapText="1"/>
    </xf>
    <xf numFmtId="4" fontId="12" fillId="6" borderId="9" xfId="0" applyNumberFormat="1" applyFont="1" applyFill="1" applyBorder="1" applyAlignment="1">
      <alignment horizontal="right" vertical="center"/>
    </xf>
    <xf numFmtId="4" fontId="12" fillId="6" borderId="5" xfId="0" applyNumberFormat="1" applyFont="1" applyFill="1" applyBorder="1" applyAlignment="1">
      <alignment horizontal="right" vertical="center"/>
    </xf>
    <xf numFmtId="0" fontId="31" fillId="0" borderId="0" xfId="0" applyFont="1"/>
    <xf numFmtId="0" fontId="33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35" fillId="0" borderId="0" xfId="0" applyFont="1" applyAlignment="1">
      <alignment wrapText="1"/>
    </xf>
    <xf numFmtId="0" fontId="32" fillId="14" borderId="0" xfId="0" applyFont="1" applyFill="1" applyAlignment="1">
      <alignment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34" fillId="14" borderId="0" xfId="0" applyFont="1" applyFill="1" applyAlignment="1">
      <alignment wrapText="1"/>
    </xf>
    <xf numFmtId="0" fontId="32" fillId="14" borderId="0" xfId="0" applyFont="1" applyFill="1" applyAlignment="1">
      <alignment horizontal="center" wrapText="1"/>
    </xf>
    <xf numFmtId="0" fontId="32" fillId="14" borderId="0" xfId="0" applyFont="1" applyFill="1" applyAlignment="1">
      <alignment horizontal="center" vertical="top" wrapText="1"/>
    </xf>
    <xf numFmtId="0" fontId="6" fillId="0" borderId="0" xfId="0" applyFont="1" applyAlignment="1" applyProtection="1">
      <alignment wrapText="1" readingOrder="1"/>
      <protection locked="0"/>
    </xf>
    <xf numFmtId="0" fontId="3" fillId="0" borderId="0" xfId="0" applyFont="1" applyAlignment="1">
      <alignment readingOrder="1"/>
    </xf>
    <xf numFmtId="0" fontId="3" fillId="0" borderId="0" xfId="0" applyFont="1" applyAlignment="1" applyProtection="1">
      <alignment horizontal="left" wrapText="1" readingOrder="1"/>
      <protection locked="0"/>
    </xf>
    <xf numFmtId="0" fontId="3" fillId="0" borderId="12" xfId="0" applyFont="1" applyBorder="1" applyAlignment="1" applyProtection="1">
      <alignment horizontal="left" wrapText="1" readingOrder="1"/>
      <protection locked="0"/>
    </xf>
    <xf numFmtId="0" fontId="9" fillId="0" borderId="2" xfId="0" applyFont="1" applyBorder="1" applyAlignment="1" applyProtection="1">
      <alignment horizontal="center" vertical="center" wrapText="1" readingOrder="1"/>
      <protection locked="0"/>
    </xf>
    <xf numFmtId="0" fontId="10" fillId="0" borderId="6" xfId="0" quotePrefix="1" applyFont="1" applyBorder="1" applyAlignment="1">
      <alignment horizontal="center" vertical="center" wrapText="1"/>
    </xf>
    <xf numFmtId="0" fontId="10" fillId="0" borderId="7" xfId="0" quotePrefix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/>
    </xf>
    <xf numFmtId="3" fontId="12" fillId="6" borderId="6" xfId="0" quotePrefix="1" applyNumberFormat="1" applyFont="1" applyFill="1" applyBorder="1" applyAlignment="1">
      <alignment horizontal="left" vertical="justify"/>
    </xf>
    <xf numFmtId="3" fontId="12" fillId="6" borderId="7" xfId="0" quotePrefix="1" applyNumberFormat="1" applyFont="1" applyFill="1" applyBorder="1" applyAlignment="1">
      <alignment horizontal="left" vertical="justify"/>
    </xf>
    <xf numFmtId="1" fontId="10" fillId="0" borderId="2" xfId="0" quotePrefix="1" applyNumberFormat="1" applyFont="1" applyBorder="1" applyAlignment="1">
      <alignment horizontal="center" vertical="center" wrapText="1"/>
    </xf>
    <xf numFmtId="3" fontId="12" fillId="0" borderId="11" xfId="0" applyNumberFormat="1" applyFont="1" applyBorder="1" applyAlignment="1">
      <alignment horizontal="center" vertical="center"/>
    </xf>
    <xf numFmtId="1" fontId="10" fillId="0" borderId="6" xfId="0" quotePrefix="1" applyNumberFormat="1" applyFont="1" applyBorder="1" applyAlignment="1">
      <alignment horizontal="center" vertical="center" wrapText="1"/>
    </xf>
    <xf numFmtId="1" fontId="10" fillId="0" borderId="7" xfId="0" quotePrefix="1" applyNumberFormat="1" applyFont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 applyProtection="1">
      <alignment vertical="center" wrapText="1" readingOrder="1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left" vertical="center" wrapText="1" readingOrder="1"/>
      <protection locked="0"/>
    </xf>
    <xf numFmtId="0" fontId="3" fillId="12" borderId="18" xfId="0" applyFont="1" applyFill="1" applyBorder="1" applyAlignment="1" applyProtection="1">
      <alignment vertical="center" wrapText="1" readingOrder="1"/>
      <protection locked="0"/>
    </xf>
    <xf numFmtId="0" fontId="3" fillId="12" borderId="18" xfId="0" applyFont="1" applyFill="1" applyBorder="1" applyAlignment="1" applyProtection="1">
      <alignment vertical="center" wrapText="1"/>
      <protection locked="0"/>
    </xf>
    <xf numFmtId="0" fontId="17" fillId="0" borderId="13" xfId="0" applyFont="1" applyBorder="1" applyAlignment="1" applyProtection="1">
      <alignment horizontal="left" vertical="center" wrapText="1" readingOrder="1"/>
      <protection locked="0"/>
    </xf>
    <xf numFmtId="0" fontId="1" fillId="0" borderId="13" xfId="0" applyFont="1" applyBorder="1" applyAlignment="1" applyProtection="1">
      <alignment vertical="top" wrapText="1"/>
      <protection locked="0"/>
    </xf>
    <xf numFmtId="0" fontId="25" fillId="10" borderId="14" xfId="0" applyFont="1" applyFill="1" applyBorder="1" applyAlignment="1" applyProtection="1">
      <alignment horizontal="left" vertical="center" wrapText="1" readingOrder="1"/>
      <protection locked="0"/>
    </xf>
    <xf numFmtId="0" fontId="26" fillId="13" borderId="14" xfId="0" applyFont="1" applyFill="1" applyBorder="1" applyAlignment="1">
      <alignment vertical="center"/>
    </xf>
    <xf numFmtId="0" fontId="16" fillId="8" borderId="14" xfId="0" applyFont="1" applyFill="1" applyBorder="1" applyAlignment="1" applyProtection="1">
      <alignment horizontal="left" vertical="center" wrapText="1" readingOrder="1"/>
      <protection locked="0"/>
    </xf>
    <xf numFmtId="0" fontId="3" fillId="9" borderId="14" xfId="0" applyFont="1" applyFill="1" applyBorder="1" applyAlignment="1" applyProtection="1">
      <alignment vertical="center" wrapText="1"/>
      <protection locked="0"/>
    </xf>
    <xf numFmtId="0" fontId="6" fillId="11" borderId="21" xfId="0" applyFont="1" applyFill="1" applyBorder="1" applyAlignment="1" applyProtection="1">
      <alignment horizontal="left" vertical="top" wrapText="1" readingOrder="1"/>
      <protection locked="0"/>
    </xf>
    <xf numFmtId="0" fontId="1" fillId="12" borderId="21" xfId="0" applyFont="1" applyFill="1" applyBorder="1" applyAlignment="1" applyProtection="1">
      <alignment vertical="top" wrapText="1"/>
      <protection locked="0"/>
    </xf>
    <xf numFmtId="0" fontId="3" fillId="11" borderId="18" xfId="0" applyFont="1" applyFill="1" applyBorder="1" applyAlignment="1" applyProtection="1">
      <alignment vertical="center" wrapText="1" readingOrder="1"/>
      <protection locked="0"/>
    </xf>
    <xf numFmtId="0" fontId="3" fillId="12" borderId="18" xfId="0" applyFont="1" applyFill="1" applyBorder="1" applyAlignment="1" applyProtection="1">
      <alignment vertical="top" wrapText="1"/>
      <protection locked="0"/>
    </xf>
    <xf numFmtId="0" fontId="16" fillId="8" borderId="19" xfId="0" applyFont="1" applyFill="1" applyBorder="1" applyAlignment="1" applyProtection="1">
      <alignment horizontal="left" vertical="center" wrapText="1" readingOrder="1"/>
      <protection locked="0"/>
    </xf>
    <xf numFmtId="0" fontId="16" fillId="8" borderId="20" xfId="0" applyFont="1" applyFill="1" applyBorder="1" applyAlignment="1" applyProtection="1">
      <alignment horizontal="left" vertical="center" wrapText="1" readingOrder="1"/>
      <protection locked="0"/>
    </xf>
    <xf numFmtId="0" fontId="17" fillId="0" borderId="19" xfId="0" applyFont="1" applyBorder="1" applyAlignment="1" applyProtection="1">
      <alignment horizontal="left" vertical="center" wrapText="1" readingOrder="1"/>
      <protection locked="0"/>
    </xf>
    <xf numFmtId="0" fontId="17" fillId="0" borderId="20" xfId="0" applyFont="1" applyBorder="1" applyAlignment="1" applyProtection="1">
      <alignment horizontal="left" vertical="center" wrapText="1" readingOrder="1"/>
      <protection locked="0"/>
    </xf>
    <xf numFmtId="0" fontId="16" fillId="9" borderId="14" xfId="0" applyFont="1" applyFill="1" applyBorder="1" applyAlignment="1" applyProtection="1">
      <alignment horizontal="left" vertical="center" wrapText="1" readingOrder="1"/>
      <protection locked="0"/>
    </xf>
    <xf numFmtId="0" fontId="25" fillId="10" borderId="19" xfId="0" applyFont="1" applyFill="1" applyBorder="1" applyAlignment="1" applyProtection="1">
      <alignment horizontal="left" vertical="center" wrapText="1" readingOrder="1"/>
      <protection locked="0"/>
    </xf>
    <xf numFmtId="0" fontId="25" fillId="10" borderId="20" xfId="0" applyFont="1" applyFill="1" applyBorder="1" applyAlignment="1" applyProtection="1">
      <alignment horizontal="left" vertical="center" wrapText="1" readingOrder="1"/>
      <protection locked="0"/>
    </xf>
    <xf numFmtId="0" fontId="7" fillId="0" borderId="0" xfId="0" applyFont="1" applyAlignment="1" applyProtection="1">
      <alignment horizontal="center" vertical="center" wrapText="1" readingOrder="1"/>
      <protection locked="0"/>
    </xf>
    <xf numFmtId="0" fontId="6" fillId="0" borderId="13" xfId="0" applyFont="1" applyBorder="1" applyAlignment="1" applyProtection="1">
      <alignment horizontal="center" vertical="center" wrapText="1" readingOrder="1"/>
      <protection locked="0"/>
    </xf>
    <xf numFmtId="0" fontId="15" fillId="2" borderId="15" xfId="0" applyFont="1" applyFill="1" applyBorder="1" applyAlignment="1" applyProtection="1">
      <alignment horizontal="left" vertical="top" wrapText="1" readingOrder="1"/>
      <protection locked="0"/>
    </xf>
    <xf numFmtId="0" fontId="3" fillId="0" borderId="15" xfId="0" applyFont="1" applyBorder="1" applyAlignment="1" applyProtection="1">
      <alignment vertical="top" wrapText="1"/>
      <protection locked="0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E0"/>
      <rgbColor rgb="00FF0000"/>
      <rgbColor rgb="000000CD"/>
      <rgbColor rgb="00FFFFFF"/>
      <rgbColor rgb="000000FF"/>
      <rgbColor rgb="000000CD"/>
      <rgbColor rgb="00FFFF00"/>
      <rgbColor rgb="004169E1"/>
      <rgbColor rgb="00FFFFE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0"/>
  <sheetViews>
    <sheetView workbookViewId="0">
      <selection activeCell="A3" sqref="A3:E3"/>
    </sheetView>
  </sheetViews>
  <sheetFormatPr defaultRowHeight="12.75" x14ac:dyDescent="0.2"/>
  <sheetData>
    <row r="1" spans="1:12" ht="15.75" x14ac:dyDescent="0.2">
      <c r="A1" s="185" t="s">
        <v>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1:12" ht="15.75" x14ac:dyDescent="0.2">
      <c r="A2" s="185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</row>
    <row r="3" spans="1:12" ht="15" x14ac:dyDescent="0.2">
      <c r="A3" s="242" t="s">
        <v>1</v>
      </c>
      <c r="B3" s="242"/>
      <c r="C3" s="242"/>
      <c r="D3" s="242"/>
      <c r="E3" s="242"/>
      <c r="F3" s="186"/>
      <c r="G3" s="186"/>
      <c r="H3" s="186"/>
      <c r="I3" s="186"/>
      <c r="J3" s="186"/>
      <c r="K3" s="186"/>
      <c r="L3" s="186"/>
    </row>
    <row r="4" spans="1:12" ht="15" x14ac:dyDescent="0.2">
      <c r="A4" s="242" t="s">
        <v>2</v>
      </c>
      <c r="B4" s="242"/>
      <c r="C4" s="242"/>
      <c r="D4" s="242"/>
      <c r="E4" s="242"/>
      <c r="F4" s="186"/>
      <c r="G4" s="186"/>
      <c r="H4" s="186"/>
      <c r="I4" s="186"/>
      <c r="J4" s="186"/>
      <c r="K4" s="186"/>
      <c r="L4" s="186"/>
    </row>
    <row r="5" spans="1:12" ht="15" x14ac:dyDescent="0.2">
      <c r="A5" s="184" t="s">
        <v>3</v>
      </c>
      <c r="B5" s="188"/>
      <c r="C5" s="188"/>
      <c r="D5" s="188"/>
      <c r="E5" s="188"/>
      <c r="F5" s="186"/>
      <c r="G5" s="186"/>
      <c r="H5" s="186"/>
      <c r="I5" s="186"/>
      <c r="J5" s="186"/>
      <c r="K5" s="186"/>
      <c r="L5" s="186"/>
    </row>
    <row r="6" spans="1:12" ht="15" x14ac:dyDescent="0.2">
      <c r="A6" s="187"/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</row>
    <row r="7" spans="1:12" ht="15" x14ac:dyDescent="0.2">
      <c r="A7" s="187"/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</row>
    <row r="8" spans="1:12" ht="15" x14ac:dyDescent="0.2">
      <c r="A8" s="187"/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</row>
    <row r="9" spans="1:12" ht="15" x14ac:dyDescent="0.2">
      <c r="A9" s="187"/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</row>
    <row r="10" spans="1:12" ht="15" x14ac:dyDescent="0.2">
      <c r="A10" s="187"/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</row>
    <row r="11" spans="1:12" ht="15" x14ac:dyDescent="0.2">
      <c r="A11" s="187"/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</row>
    <row r="12" spans="1:12" ht="15" x14ac:dyDescent="0.2">
      <c r="A12" s="187"/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</row>
    <row r="13" spans="1:12" ht="15" x14ac:dyDescent="0.2">
      <c r="A13" s="187"/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</row>
    <row r="14" spans="1:12" ht="15" x14ac:dyDescent="0.2">
      <c r="A14" s="187"/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</row>
    <row r="15" spans="1:12" ht="15" x14ac:dyDescent="0.2">
      <c r="A15" s="187"/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</row>
    <row r="16" spans="1:12" ht="15" x14ac:dyDescent="0.2">
      <c r="A16" s="187"/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</row>
    <row r="17" spans="1:14" ht="15" x14ac:dyDescent="0.2">
      <c r="A17" s="187"/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</row>
    <row r="18" spans="1:14" ht="15" x14ac:dyDescent="0.2">
      <c r="A18" s="187"/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</row>
    <row r="19" spans="1:14" ht="15" x14ac:dyDescent="0.2">
      <c r="A19" s="187"/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</row>
    <row r="20" spans="1:14" ht="15" x14ac:dyDescent="0.2">
      <c r="A20" s="187"/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</row>
    <row r="21" spans="1:14" ht="15" x14ac:dyDescent="0.2">
      <c r="A21" s="187"/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</row>
    <row r="22" spans="1:14" ht="15" x14ac:dyDescent="0.2">
      <c r="A22" s="187"/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</row>
    <row r="23" spans="1:14" ht="15" x14ac:dyDescent="0.2">
      <c r="A23" s="187"/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</row>
    <row r="24" spans="1:14" ht="15.75" x14ac:dyDescent="0.2">
      <c r="A24" s="243" t="s">
        <v>4</v>
      </c>
      <c r="B24" s="243"/>
      <c r="C24" s="243"/>
      <c r="D24" s="243"/>
      <c r="E24" s="243"/>
      <c r="F24" s="243"/>
      <c r="G24" s="243"/>
      <c r="H24" s="243"/>
      <c r="I24" s="243"/>
      <c r="J24" s="243"/>
      <c r="K24" s="185"/>
      <c r="L24" s="185"/>
      <c r="M24" s="185"/>
      <c r="N24" s="185"/>
    </row>
    <row r="25" spans="1:14" ht="15.75" x14ac:dyDescent="0.2">
      <c r="A25" s="243" t="s">
        <v>5</v>
      </c>
      <c r="B25" s="243"/>
      <c r="C25" s="243"/>
      <c r="D25" s="243"/>
      <c r="E25" s="243"/>
      <c r="F25" s="243"/>
      <c r="G25" s="243"/>
      <c r="H25" s="243"/>
      <c r="I25" s="243"/>
      <c r="J25" s="243"/>
      <c r="K25" s="185"/>
      <c r="L25" s="185"/>
    </row>
    <row r="26" spans="1:14" ht="15" x14ac:dyDescent="0.2">
      <c r="A26" s="186"/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</row>
    <row r="27" spans="1:14" ht="15" x14ac:dyDescent="0.2">
      <c r="A27" s="186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</row>
    <row r="28" spans="1:14" ht="15" x14ac:dyDescent="0.2">
      <c r="A28" s="186"/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</row>
    <row r="29" spans="1:14" ht="15" x14ac:dyDescent="0.2">
      <c r="A29" s="186"/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</row>
    <row r="30" spans="1:14" ht="15" x14ac:dyDescent="0.2">
      <c r="A30" s="186"/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</row>
  </sheetData>
  <mergeCells count="4">
    <mergeCell ref="A3:E3"/>
    <mergeCell ref="A4:E4"/>
    <mergeCell ref="A24:J24"/>
    <mergeCell ref="A25:J25"/>
  </mergeCells>
  <pageMargins left="0.7" right="0.7" top="0.75" bottom="0.75" header="0.3" footer="0.3"/>
  <pageSetup paperSize="9" scale="9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40"/>
  <sheetViews>
    <sheetView showGridLines="0" tabSelected="1" zoomScaleNormal="100" workbookViewId="0">
      <selection activeCell="A3" sqref="A3:F3"/>
    </sheetView>
  </sheetViews>
  <sheetFormatPr defaultRowHeight="12.75" x14ac:dyDescent="0.2"/>
  <cols>
    <col min="1" max="1" width="33.42578125" style="4" customWidth="1"/>
    <col min="2" max="3" width="15.42578125" style="4" bestFit="1" customWidth="1"/>
    <col min="4" max="4" width="15.28515625" style="4" customWidth="1"/>
    <col min="5" max="6" width="13.140625" style="4" customWidth="1"/>
    <col min="7" max="16384" width="9.140625" style="4"/>
  </cols>
  <sheetData>
    <row r="1" spans="1:49" ht="12.75" customHeight="1" x14ac:dyDescent="0.25">
      <c r="A1" s="245" t="s">
        <v>6</v>
      </c>
      <c r="B1" s="245"/>
      <c r="C1" s="245"/>
      <c r="D1" s="245"/>
      <c r="E1" s="245"/>
      <c r="F1" s="245"/>
      <c r="G1" s="241"/>
      <c r="H1" s="241"/>
      <c r="I1" s="241"/>
      <c r="J1" s="241"/>
      <c r="K1" s="241"/>
      <c r="L1" s="241"/>
      <c r="M1" s="238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237"/>
      <c r="AU1" s="237"/>
      <c r="AV1" s="237"/>
      <c r="AW1" s="237"/>
    </row>
    <row r="2" spans="1:49" ht="12.75" customHeight="1" x14ac:dyDescent="0.25">
      <c r="A2" s="237"/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39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</row>
    <row r="3" spans="1:49" s="1" customFormat="1" ht="26.85" customHeight="1" x14ac:dyDescent="0.25">
      <c r="A3" s="246" t="s">
        <v>7</v>
      </c>
      <c r="B3" s="246"/>
      <c r="C3" s="246"/>
      <c r="D3" s="246"/>
      <c r="E3" s="246"/>
      <c r="F3" s="246"/>
      <c r="G3" s="241"/>
      <c r="H3" s="241"/>
      <c r="I3" s="241"/>
      <c r="J3" s="241"/>
      <c r="K3" s="241"/>
      <c r="L3" s="241"/>
      <c r="M3" s="240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</row>
    <row r="4" spans="1:49" s="1" customFormat="1" ht="17.100000000000001" customHeight="1" x14ac:dyDescent="0.2">
      <c r="A4" s="247" t="s">
        <v>8</v>
      </c>
      <c r="B4" s="247"/>
      <c r="C4" s="248"/>
      <c r="D4" s="248"/>
    </row>
    <row r="5" spans="1:49" s="44" customFormat="1" ht="38.25" x14ac:dyDescent="0.2">
      <c r="A5" s="45" t="s">
        <v>9</v>
      </c>
      <c r="B5" s="46" t="s">
        <v>10</v>
      </c>
      <c r="C5" s="46" t="s">
        <v>11</v>
      </c>
      <c r="D5" s="46" t="s">
        <v>12</v>
      </c>
      <c r="E5" s="47" t="s">
        <v>13</v>
      </c>
      <c r="F5" s="48" t="s">
        <v>14</v>
      </c>
    </row>
    <row r="6" spans="1:49" s="3" customFormat="1" ht="12" x14ac:dyDescent="0.2">
      <c r="A6" s="14">
        <v>1</v>
      </c>
      <c r="B6" s="17">
        <v>2</v>
      </c>
      <c r="C6" s="18">
        <v>3</v>
      </c>
      <c r="D6" s="18">
        <v>4</v>
      </c>
      <c r="E6" s="19" t="s">
        <v>15</v>
      </c>
      <c r="F6" s="20" t="s">
        <v>16</v>
      </c>
    </row>
    <row r="7" spans="1:49" x14ac:dyDescent="0.2">
      <c r="A7" s="5" t="s">
        <v>17</v>
      </c>
      <c r="B7" s="6">
        <v>2407924.86</v>
      </c>
      <c r="C7" s="6">
        <v>2811491.54</v>
      </c>
      <c r="D7" s="6">
        <v>2845392.64</v>
      </c>
      <c r="E7" s="15">
        <f t="shared" ref="E7:E13" si="0">D7/B7*100</f>
        <v>118.16783352616744</v>
      </c>
      <c r="F7" s="16">
        <f>D7/C7*100</f>
        <v>101.2058048021016</v>
      </c>
    </row>
    <row r="8" spans="1:49" ht="25.5" x14ac:dyDescent="0.2">
      <c r="A8" s="5" t="s">
        <v>18</v>
      </c>
      <c r="B8" s="6">
        <v>27433.8</v>
      </c>
      <c r="C8" s="6">
        <v>0</v>
      </c>
      <c r="D8" s="6">
        <v>1450</v>
      </c>
      <c r="E8" s="15">
        <f t="shared" si="0"/>
        <v>5.2854507942756745</v>
      </c>
      <c r="F8" s="16" t="e">
        <f t="shared" ref="F8:F13" si="1">D8/C8*100</f>
        <v>#DIV/0!</v>
      </c>
    </row>
    <row r="9" spans="1:49" x14ac:dyDescent="0.2">
      <c r="A9" s="5" t="s">
        <v>19</v>
      </c>
      <c r="B9" s="6">
        <f>SUM(B7:B8)</f>
        <v>2435358.6599999997</v>
      </c>
      <c r="C9" s="6">
        <f>SUM(C7:C8)</f>
        <v>2811491.54</v>
      </c>
      <c r="D9" s="6">
        <f>SUM(D7:D8)</f>
        <v>2846842.64</v>
      </c>
      <c r="E9" s="15">
        <f t="shared" si="0"/>
        <v>116.89623736981724</v>
      </c>
      <c r="F9" s="16">
        <f t="shared" si="1"/>
        <v>101.25737885023123</v>
      </c>
    </row>
    <row r="10" spans="1:49" x14ac:dyDescent="0.2">
      <c r="A10" s="5" t="s">
        <v>20</v>
      </c>
      <c r="B10" s="6">
        <v>2376066.85</v>
      </c>
      <c r="C10" s="6">
        <v>2736646.33</v>
      </c>
      <c r="D10" s="6">
        <v>2716108.59</v>
      </c>
      <c r="E10" s="15">
        <f t="shared" si="0"/>
        <v>114.31111839298629</v>
      </c>
      <c r="F10" s="16">
        <f t="shared" si="1"/>
        <v>99.249528893271346</v>
      </c>
    </row>
    <row r="11" spans="1:49" ht="25.5" x14ac:dyDescent="0.2">
      <c r="A11" s="5" t="s">
        <v>21</v>
      </c>
      <c r="B11" s="6">
        <v>47873.74</v>
      </c>
      <c r="C11" s="6">
        <v>87638.78</v>
      </c>
      <c r="D11" s="6">
        <v>118297.68</v>
      </c>
      <c r="E11" s="15">
        <f t="shared" si="0"/>
        <v>247.10348512566597</v>
      </c>
      <c r="F11" s="16">
        <f t="shared" si="1"/>
        <v>134.98325741184439</v>
      </c>
    </row>
    <row r="12" spans="1:49" x14ac:dyDescent="0.2">
      <c r="A12" s="5" t="s">
        <v>22</v>
      </c>
      <c r="B12" s="6">
        <f>SUM(B10:B11)</f>
        <v>2423940.5900000003</v>
      </c>
      <c r="C12" s="6">
        <f>SUM(C10:C11)</f>
        <v>2824285.11</v>
      </c>
      <c r="D12" s="6">
        <f>SUM(D10:D11)</f>
        <v>2834406.27</v>
      </c>
      <c r="E12" s="15">
        <f t="shared" si="0"/>
        <v>116.93381767248677</v>
      </c>
      <c r="F12" s="16">
        <f t="shared" si="1"/>
        <v>100.35836183691809</v>
      </c>
    </row>
    <row r="13" spans="1:49" x14ac:dyDescent="0.2">
      <c r="A13" s="5" t="s">
        <v>23</v>
      </c>
      <c r="B13" s="6">
        <f>B9-B12</f>
        <v>11418.069999999367</v>
      </c>
      <c r="C13" s="6">
        <f>C9-C12</f>
        <v>-12793.569999999832</v>
      </c>
      <c r="D13" s="6">
        <f>D9-D12</f>
        <v>12436.370000000112</v>
      </c>
      <c r="E13" s="15">
        <f t="shared" si="0"/>
        <v>108.91831982113264</v>
      </c>
      <c r="F13" s="16">
        <f t="shared" si="1"/>
        <v>-97.20797244240876</v>
      </c>
    </row>
    <row r="14" spans="1:49" ht="409.6" hidden="1" customHeight="1" x14ac:dyDescent="0.2"/>
    <row r="15" spans="1:49" ht="16.149999999999999" customHeight="1" x14ac:dyDescent="0.2"/>
    <row r="16" spans="1:49" s="1" customFormat="1" ht="17.100000000000001" customHeight="1" x14ac:dyDescent="0.2">
      <c r="A16" s="247" t="s">
        <v>24</v>
      </c>
      <c r="B16" s="247"/>
      <c r="C16" s="248"/>
      <c r="D16" s="248"/>
    </row>
    <row r="17" spans="1:6" s="44" customFormat="1" ht="38.25" x14ac:dyDescent="0.2">
      <c r="A17" s="45" t="s">
        <v>9</v>
      </c>
      <c r="B17" s="46" t="s">
        <v>10</v>
      </c>
      <c r="C17" s="46" t="s">
        <v>11</v>
      </c>
      <c r="D17" s="46" t="s">
        <v>12</v>
      </c>
      <c r="E17" s="47" t="s">
        <v>13</v>
      </c>
      <c r="F17" s="48" t="s">
        <v>14</v>
      </c>
    </row>
    <row r="18" spans="1:6" s="3" customFormat="1" ht="12" x14ac:dyDescent="0.2">
      <c r="A18" s="14">
        <v>1</v>
      </c>
      <c r="B18" s="17">
        <v>2</v>
      </c>
      <c r="C18" s="18">
        <v>3</v>
      </c>
      <c r="D18" s="18">
        <v>4</v>
      </c>
      <c r="E18" s="19" t="s">
        <v>15</v>
      </c>
      <c r="F18" s="20" t="s">
        <v>16</v>
      </c>
    </row>
    <row r="19" spans="1:6" ht="25.5" x14ac:dyDescent="0.2">
      <c r="A19" s="5" t="s">
        <v>25</v>
      </c>
      <c r="B19" s="6">
        <v>0</v>
      </c>
      <c r="C19" s="6">
        <v>0</v>
      </c>
      <c r="D19" s="6">
        <v>0</v>
      </c>
      <c r="E19" s="15" t="e">
        <f>D19/B19*100</f>
        <v>#DIV/0!</v>
      </c>
      <c r="F19" s="16" t="e">
        <f>D19/C19*100</f>
        <v>#DIV/0!</v>
      </c>
    </row>
    <row r="20" spans="1:6" ht="25.5" x14ac:dyDescent="0.2">
      <c r="A20" s="5" t="s">
        <v>26</v>
      </c>
      <c r="B20" s="6">
        <v>0</v>
      </c>
      <c r="C20" s="6">
        <v>0</v>
      </c>
      <c r="D20" s="6">
        <v>0</v>
      </c>
      <c r="E20" s="15" t="e">
        <f>D20/B20*100</f>
        <v>#DIV/0!</v>
      </c>
      <c r="F20" s="16" t="e">
        <f>D20/C20*100</f>
        <v>#DIV/0!</v>
      </c>
    </row>
    <row r="21" spans="1:6" x14ac:dyDescent="0.2">
      <c r="A21" s="5" t="s">
        <v>27</v>
      </c>
      <c r="B21" s="6">
        <f>B19-B20</f>
        <v>0</v>
      </c>
      <c r="C21" s="6">
        <f>C19-C20</f>
        <v>0</v>
      </c>
      <c r="D21" s="6">
        <f>D19-D20</f>
        <v>0</v>
      </c>
      <c r="E21" s="15" t="e">
        <f>D21/B21*100</f>
        <v>#DIV/0!</v>
      </c>
      <c r="F21" s="16" t="e">
        <f>D21/C21*100</f>
        <v>#DIV/0!</v>
      </c>
    </row>
    <row r="22" spans="1:6" x14ac:dyDescent="0.2">
      <c r="A22" s="2"/>
      <c r="B22" s="2"/>
      <c r="C22" s="2"/>
      <c r="D22" s="2"/>
    </row>
    <row r="23" spans="1:6" s="1" customFormat="1" ht="18" customHeight="1" x14ac:dyDescent="0.2">
      <c r="A23" s="249" t="s">
        <v>28</v>
      </c>
      <c r="B23" s="249"/>
      <c r="C23" s="249"/>
      <c r="D23" s="7"/>
    </row>
    <row r="24" spans="1:6" ht="38.25" x14ac:dyDescent="0.2">
      <c r="A24" s="8" t="s">
        <v>29</v>
      </c>
      <c r="B24" s="6">
        <v>0</v>
      </c>
      <c r="C24" s="6">
        <v>12793.57</v>
      </c>
      <c r="D24" s="6">
        <v>24848.55</v>
      </c>
      <c r="E24" s="15" t="e">
        <f>D24/B24*100</f>
        <v>#DIV/0!</v>
      </c>
      <c r="F24" s="16">
        <f>D24/C24*100</f>
        <v>194.22686552697957</v>
      </c>
    </row>
    <row r="25" spans="1:6" ht="38.25" x14ac:dyDescent="0.2">
      <c r="A25" s="8" t="s">
        <v>30</v>
      </c>
      <c r="B25" s="13">
        <f>B13+B21+B24</f>
        <v>11418.069999999367</v>
      </c>
      <c r="C25" s="13">
        <f>C13+C21+C24</f>
        <v>1.673470251262188E-10</v>
      </c>
      <c r="D25" s="229">
        <f>D13+D21+D24</f>
        <v>37284.920000000115</v>
      </c>
      <c r="E25" s="15">
        <f>D25/B25*100</f>
        <v>326.5431022931387</v>
      </c>
      <c r="F25" s="16">
        <v>0</v>
      </c>
    </row>
    <row r="26" spans="1:6" ht="14.25" customHeight="1" x14ac:dyDescent="0.2"/>
    <row r="27" spans="1:6" s="1" customFormat="1" ht="18" customHeight="1" x14ac:dyDescent="0.2">
      <c r="A27" s="249" t="s">
        <v>31</v>
      </c>
      <c r="B27" s="249"/>
      <c r="C27" s="250"/>
      <c r="D27" s="250"/>
    </row>
    <row r="28" spans="1:6" ht="25.5" x14ac:dyDescent="0.2">
      <c r="A28" s="8" t="s">
        <v>32</v>
      </c>
      <c r="B28" s="9">
        <v>10332</v>
      </c>
      <c r="C28" s="9">
        <f>SUM(C24:D24)</f>
        <v>37642.119999999995</v>
      </c>
      <c r="D28" s="10">
        <f>C28-C24</f>
        <v>24848.549999999996</v>
      </c>
      <c r="E28" s="15">
        <f>D28/B28*100</f>
        <v>240.50087108013935</v>
      </c>
      <c r="F28" s="16">
        <f>D28/C28*100</f>
        <v>66.01262096821327</v>
      </c>
    </row>
    <row r="29" spans="1:6" x14ac:dyDescent="0.2">
      <c r="A29" s="11"/>
      <c r="B29" s="12"/>
      <c r="C29" s="12"/>
      <c r="D29" s="12"/>
    </row>
    <row r="30" spans="1:6" s="1" customFormat="1" ht="17.100000000000001" customHeight="1" x14ac:dyDescent="0.2">
      <c r="A30" s="247" t="s">
        <v>33</v>
      </c>
      <c r="B30" s="247"/>
      <c r="C30" s="248"/>
      <c r="D30" s="248"/>
    </row>
    <row r="31" spans="1:6" s="44" customFormat="1" ht="38.25" x14ac:dyDescent="0.2">
      <c r="A31" s="45" t="s">
        <v>9</v>
      </c>
      <c r="B31" s="46" t="s">
        <v>10</v>
      </c>
      <c r="C31" s="46" t="s">
        <v>11</v>
      </c>
      <c r="D31" s="46" t="s">
        <v>12</v>
      </c>
      <c r="E31" s="47" t="s">
        <v>13</v>
      </c>
      <c r="F31" s="48" t="s">
        <v>14</v>
      </c>
    </row>
    <row r="32" spans="1:6" s="3" customFormat="1" ht="12" x14ac:dyDescent="0.2">
      <c r="A32" s="14">
        <v>1</v>
      </c>
      <c r="B32" s="17">
        <v>2</v>
      </c>
      <c r="C32" s="18">
        <v>3</v>
      </c>
      <c r="D32" s="18">
        <v>4</v>
      </c>
      <c r="E32" s="19" t="s">
        <v>15</v>
      </c>
      <c r="F32" s="20" t="s">
        <v>16</v>
      </c>
    </row>
    <row r="33" spans="1:6" x14ac:dyDescent="0.2">
      <c r="A33" s="5" t="s">
        <v>34</v>
      </c>
      <c r="B33" s="6">
        <f>SUM(B9)</f>
        <v>2435358.6599999997</v>
      </c>
      <c r="C33" s="6">
        <f>SUM(C9)</f>
        <v>2811491.54</v>
      </c>
      <c r="D33" s="6">
        <f>SUM(D9)</f>
        <v>2846842.64</v>
      </c>
      <c r="E33" s="15">
        <f t="shared" ref="E33:E39" si="2">D33/B33*100</f>
        <v>116.89623736981724</v>
      </c>
      <c r="F33" s="16">
        <f t="shared" ref="F33:F39" si="3">D33/C33*100</f>
        <v>101.25737885023123</v>
      </c>
    </row>
    <row r="34" spans="1:6" x14ac:dyDescent="0.2">
      <c r="A34" s="5" t="s">
        <v>35</v>
      </c>
      <c r="B34" s="6">
        <v>0</v>
      </c>
      <c r="C34" s="6">
        <f>SUM(C24)</f>
        <v>12793.57</v>
      </c>
      <c r="D34" s="6">
        <f>SUM(D24)</f>
        <v>24848.55</v>
      </c>
      <c r="E34" s="15" t="e">
        <f t="shared" si="2"/>
        <v>#DIV/0!</v>
      </c>
      <c r="F34" s="16">
        <f t="shared" si="3"/>
        <v>194.22686552697957</v>
      </c>
    </row>
    <row r="35" spans="1:6" ht="25.5" x14ac:dyDescent="0.2">
      <c r="A35" s="5" t="s">
        <v>36</v>
      </c>
      <c r="B35" s="6">
        <f>SUM(B19)</f>
        <v>0</v>
      </c>
      <c r="C35" s="6">
        <f>SUM(C19)</f>
        <v>0</v>
      </c>
      <c r="D35" s="6">
        <f>SUM(D19)</f>
        <v>0</v>
      </c>
      <c r="E35" s="15" t="e">
        <f t="shared" si="2"/>
        <v>#DIV/0!</v>
      </c>
      <c r="F35" s="16" t="e">
        <f t="shared" si="3"/>
        <v>#DIV/0!</v>
      </c>
    </row>
    <row r="36" spans="1:6" ht="25.5" x14ac:dyDescent="0.2">
      <c r="A36" s="5" t="s">
        <v>37</v>
      </c>
      <c r="B36" s="6">
        <f>SUM(B33:B35)</f>
        <v>2435358.6599999997</v>
      </c>
      <c r="C36" s="6">
        <f>SUM(C33:C35)</f>
        <v>2824285.11</v>
      </c>
      <c r="D36" s="6">
        <f>SUM(D33:D35)</f>
        <v>2871691.19</v>
      </c>
      <c r="E36" s="15">
        <f t="shared" si="2"/>
        <v>117.9165614152291</v>
      </c>
      <c r="F36" s="16">
        <f t="shared" si="3"/>
        <v>101.67851609004164</v>
      </c>
    </row>
    <row r="37" spans="1:6" x14ac:dyDescent="0.2">
      <c r="A37" s="5" t="s">
        <v>38</v>
      </c>
      <c r="B37" s="6">
        <f>SUM(B12)</f>
        <v>2423940.5900000003</v>
      </c>
      <c r="C37" s="6">
        <f>SUM(C12)</f>
        <v>2824285.11</v>
      </c>
      <c r="D37" s="6">
        <f>SUM(D12)</f>
        <v>2834406.27</v>
      </c>
      <c r="E37" s="15">
        <f t="shared" si="2"/>
        <v>116.93381767248677</v>
      </c>
      <c r="F37" s="16">
        <f t="shared" si="3"/>
        <v>100.35836183691809</v>
      </c>
    </row>
    <row r="38" spans="1:6" ht="25.5" x14ac:dyDescent="0.2">
      <c r="A38" s="5" t="s">
        <v>39</v>
      </c>
      <c r="B38" s="6">
        <f>SUM(B20)</f>
        <v>0</v>
      </c>
      <c r="C38" s="6">
        <f>SUM(C20)</f>
        <v>0</v>
      </c>
      <c r="D38" s="6">
        <f>SUM(D20)</f>
        <v>0</v>
      </c>
      <c r="E38" s="15" t="e">
        <f t="shared" si="2"/>
        <v>#DIV/0!</v>
      </c>
      <c r="F38" s="16" t="e">
        <f t="shared" si="3"/>
        <v>#DIV/0!</v>
      </c>
    </row>
    <row r="39" spans="1:6" ht="25.5" x14ac:dyDescent="0.2">
      <c r="A39" s="5" t="s">
        <v>40</v>
      </c>
      <c r="B39" s="6">
        <f>SUM(B37:B38)</f>
        <v>2423940.5900000003</v>
      </c>
      <c r="C39" s="6">
        <f>SUM(C37:C38)</f>
        <v>2824285.11</v>
      </c>
      <c r="D39" s="6">
        <f>SUM(D37:D38)</f>
        <v>2834406.27</v>
      </c>
      <c r="E39" s="15">
        <f t="shared" si="2"/>
        <v>116.93381767248677</v>
      </c>
      <c r="F39" s="16">
        <f t="shared" si="3"/>
        <v>100.35836183691809</v>
      </c>
    </row>
    <row r="40" spans="1:6" ht="409.6" hidden="1" customHeight="1" x14ac:dyDescent="0.2"/>
  </sheetData>
  <mergeCells count="8">
    <mergeCell ref="B2:L2"/>
    <mergeCell ref="A1:F1"/>
    <mergeCell ref="A3:F3"/>
    <mergeCell ref="A30:D30"/>
    <mergeCell ref="A4:D4"/>
    <mergeCell ref="A16:D16"/>
    <mergeCell ref="A23:C23"/>
    <mergeCell ref="A27:D27"/>
  </mergeCells>
  <pageMargins left="0.59055118110236227" right="0.59055118110236227" top="0.59055118110236227" bottom="0.59055118110236227" header="0.59055118110236227" footer="0.59055118110236227"/>
  <pageSetup paperSize="9" scale="57" orientation="portrait" r:id="rId1"/>
  <headerFooter alignWithMargins="0">
    <oddHeader>&amp;LOsnovna škola "Vazmoslav Gržalja"&amp;RIzvještaj o izvršenju Financijskog plana za razdoblje od 01.01. do 30.06.2023.g.</oddHeader>
    <oddFooter>&amp;L&amp;C&amp;R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8"/>
  <sheetViews>
    <sheetView topLeftCell="A45" zoomScale="89" zoomScaleNormal="89" workbookViewId="0">
      <selection sqref="A1:G1"/>
    </sheetView>
  </sheetViews>
  <sheetFormatPr defaultRowHeight="30" customHeight="1" x14ac:dyDescent="0.2"/>
  <cols>
    <col min="1" max="1" width="9.28515625" style="42" customWidth="1"/>
    <col min="2" max="2" width="42.28515625" style="21" customWidth="1"/>
    <col min="3" max="5" width="15.42578125" style="36" customWidth="1"/>
    <col min="6" max="7" width="14.28515625" style="24" customWidth="1"/>
    <col min="8" max="10" width="16.5703125" style="21" customWidth="1"/>
    <col min="11" max="14" width="15.140625" style="21" customWidth="1"/>
    <col min="15" max="15" width="16.7109375" style="21" hidden="1" customWidth="1"/>
    <col min="16" max="16" width="16.42578125" style="21" hidden="1" customWidth="1"/>
    <col min="17" max="17" width="12.5703125" style="21" hidden="1" customWidth="1"/>
    <col min="18" max="18" width="15.140625" style="21" customWidth="1"/>
    <col min="19" max="16384" width="9.140625" style="21"/>
  </cols>
  <sheetData>
    <row r="1" spans="1:9" ht="30" customHeight="1" x14ac:dyDescent="0.2">
      <c r="A1" s="251" t="s">
        <v>41</v>
      </c>
      <c r="B1" s="251"/>
      <c r="C1" s="251"/>
      <c r="D1" s="251"/>
      <c r="E1" s="251"/>
      <c r="F1" s="251"/>
      <c r="G1" s="251"/>
      <c r="H1" s="43"/>
      <c r="I1" s="43"/>
    </row>
    <row r="2" spans="1:9" s="25" customFormat="1" ht="59.25" customHeight="1" x14ac:dyDescent="0.2">
      <c r="A2" s="50" t="s">
        <v>42</v>
      </c>
      <c r="B2" s="51" t="s">
        <v>43</v>
      </c>
      <c r="C2" s="52" t="s">
        <v>10</v>
      </c>
      <c r="D2" s="52" t="s">
        <v>11</v>
      </c>
      <c r="E2" s="52" t="s">
        <v>12</v>
      </c>
      <c r="F2" s="53" t="s">
        <v>13</v>
      </c>
      <c r="G2" s="54" t="s">
        <v>14</v>
      </c>
    </row>
    <row r="3" spans="1:9" s="26" customFormat="1" ht="30" customHeight="1" x14ac:dyDescent="0.2">
      <c r="A3" s="252">
        <v>1</v>
      </c>
      <c r="B3" s="253"/>
      <c r="C3" s="55">
        <v>2</v>
      </c>
      <c r="D3" s="56">
        <v>3</v>
      </c>
      <c r="E3" s="56">
        <v>4</v>
      </c>
      <c r="F3" s="57" t="s">
        <v>15</v>
      </c>
      <c r="G3" s="57" t="s">
        <v>16</v>
      </c>
    </row>
    <row r="4" spans="1:9" ht="30" customHeight="1" x14ac:dyDescent="0.2">
      <c r="A4" s="58">
        <v>6</v>
      </c>
      <c r="B4" s="59" t="s">
        <v>44</v>
      </c>
      <c r="C4" s="60">
        <f>SUM(C5,C15,C20,C23,C30,C34)+0.01</f>
        <v>2407924.8610186474</v>
      </c>
      <c r="D4" s="60">
        <f>SUM(D5,D15,D20,D23,D30,D34)</f>
        <v>2811491.54</v>
      </c>
      <c r="E4" s="60">
        <f>SUM(E5,E15,E20,E23,E30,E34)</f>
        <v>2845392.6399999997</v>
      </c>
      <c r="F4" s="61">
        <f t="shared" ref="F4:F24" si="0">E4/C4*100</f>
        <v>118.16783347617775</v>
      </c>
      <c r="G4" s="61">
        <f>E4/D4*100</f>
        <v>101.20580480210157</v>
      </c>
    </row>
    <row r="5" spans="1:9" ht="30" customHeight="1" x14ac:dyDescent="0.2">
      <c r="A5" s="62">
        <v>63</v>
      </c>
      <c r="B5" s="63" t="s">
        <v>45</v>
      </c>
      <c r="C5" s="64">
        <f>SUM(C6,C8,C11)</f>
        <v>1667879.747826664</v>
      </c>
      <c r="D5" s="64">
        <v>2005152.01</v>
      </c>
      <c r="E5" s="64">
        <f>SUM(E6,E8,E11,E13)</f>
        <v>2022581.23</v>
      </c>
      <c r="F5" s="65">
        <f t="shared" si="0"/>
        <v>121.26661005600259</v>
      </c>
      <c r="G5" s="65">
        <f>E5/D5*100</f>
        <v>100.86922188009078</v>
      </c>
    </row>
    <row r="6" spans="1:9" s="27" customFormat="1" ht="30" customHeight="1" x14ac:dyDescent="0.2">
      <c r="A6" s="66">
        <v>634</v>
      </c>
      <c r="B6" s="67" t="s">
        <v>46</v>
      </c>
      <c r="C6" s="68">
        <f>C7</f>
        <v>0</v>
      </c>
      <c r="D6" s="68"/>
      <c r="E6" s="68">
        <f>E7</f>
        <v>1810.98</v>
      </c>
      <c r="F6" s="69" t="e">
        <f t="shared" si="0"/>
        <v>#DIV/0!</v>
      </c>
      <c r="G6" s="69"/>
    </row>
    <row r="7" spans="1:9" ht="30" customHeight="1" x14ac:dyDescent="0.2">
      <c r="A7" s="70">
        <v>6341</v>
      </c>
      <c r="B7" s="71" t="s">
        <v>47</v>
      </c>
      <c r="C7" s="72">
        <v>0</v>
      </c>
      <c r="D7" s="72"/>
      <c r="E7" s="72">
        <v>1810.98</v>
      </c>
      <c r="F7" s="69" t="e">
        <f t="shared" si="0"/>
        <v>#DIV/0!</v>
      </c>
      <c r="G7" s="73"/>
    </row>
    <row r="8" spans="1:9" s="27" customFormat="1" ht="30" customHeight="1" x14ac:dyDescent="0.2">
      <c r="A8" s="66">
        <v>636</v>
      </c>
      <c r="B8" s="67" t="s">
        <v>48</v>
      </c>
      <c r="C8" s="68">
        <f>SUM(C9:C10)</f>
        <v>1662761.6948702633</v>
      </c>
      <c r="D8" s="68"/>
      <c r="E8" s="68">
        <f>SUM(E9:E10)</f>
        <v>2019642.3499999999</v>
      </c>
      <c r="F8" s="69">
        <f t="shared" si="0"/>
        <v>121.46312705126287</v>
      </c>
      <c r="G8" s="69"/>
    </row>
    <row r="9" spans="1:9" ht="43.5" customHeight="1" x14ac:dyDescent="0.2">
      <c r="A9" s="70">
        <v>6361</v>
      </c>
      <c r="B9" s="71" t="s">
        <v>49</v>
      </c>
      <c r="C9" s="72">
        <f>12458743.82/7.5345</f>
        <v>1653559.4691087662</v>
      </c>
      <c r="D9" s="72"/>
      <c r="E9" s="72">
        <v>1972130.9</v>
      </c>
      <c r="F9" s="69">
        <f t="shared" si="0"/>
        <v>119.2657982275616</v>
      </c>
      <c r="G9" s="69"/>
    </row>
    <row r="10" spans="1:9" ht="36.75" customHeight="1" x14ac:dyDescent="0.2">
      <c r="A10" s="70">
        <v>6362</v>
      </c>
      <c r="B10" s="71" t="s">
        <v>50</v>
      </c>
      <c r="C10" s="72">
        <f>69334.17/7.5345</f>
        <v>9202.2257614971131</v>
      </c>
      <c r="D10" s="72"/>
      <c r="E10" s="72">
        <v>47511.45</v>
      </c>
      <c r="F10" s="69">
        <f t="shared" si="0"/>
        <v>516.30389463809831</v>
      </c>
      <c r="G10" s="69"/>
    </row>
    <row r="11" spans="1:9" s="27" customFormat="1" ht="30" customHeight="1" x14ac:dyDescent="0.2">
      <c r="A11" s="66">
        <v>638</v>
      </c>
      <c r="B11" s="67" t="s">
        <v>51</v>
      </c>
      <c r="C11" s="68">
        <f>C12</f>
        <v>5118.0529564005574</v>
      </c>
      <c r="D11" s="68"/>
      <c r="E11" s="68">
        <f>E12</f>
        <v>1000.07</v>
      </c>
      <c r="F11" s="69">
        <f t="shared" si="0"/>
        <v>19.540047915083179</v>
      </c>
      <c r="G11" s="69"/>
    </row>
    <row r="12" spans="1:9" ht="30" customHeight="1" x14ac:dyDescent="0.2">
      <c r="A12" s="70">
        <v>6381</v>
      </c>
      <c r="B12" s="71" t="s">
        <v>52</v>
      </c>
      <c r="C12" s="72">
        <f>38561.97/7.5345</f>
        <v>5118.0529564005574</v>
      </c>
      <c r="D12" s="72"/>
      <c r="E12" s="72">
        <v>1000.07</v>
      </c>
      <c r="F12" s="69">
        <f t="shared" si="0"/>
        <v>19.540047915083179</v>
      </c>
      <c r="G12" s="69"/>
    </row>
    <row r="13" spans="1:9" ht="30" customHeight="1" x14ac:dyDescent="0.2">
      <c r="A13" s="62">
        <v>639</v>
      </c>
      <c r="B13" s="63" t="s">
        <v>53</v>
      </c>
      <c r="C13" s="64">
        <f>C14</f>
        <v>0</v>
      </c>
      <c r="D13" s="64"/>
      <c r="E13" s="64">
        <f>E14</f>
        <v>127.83</v>
      </c>
      <c r="F13" s="69" t="e">
        <f t="shared" ref="F13:F14" si="1">E13/C13*100</f>
        <v>#DIV/0!</v>
      </c>
      <c r="G13" s="69"/>
    </row>
    <row r="14" spans="1:9" ht="30" customHeight="1" x14ac:dyDescent="0.2">
      <c r="A14" s="70">
        <v>6391</v>
      </c>
      <c r="B14" s="71" t="s">
        <v>54</v>
      </c>
      <c r="C14" s="72">
        <v>0</v>
      </c>
      <c r="D14" s="72"/>
      <c r="E14" s="72">
        <v>127.83</v>
      </c>
      <c r="F14" s="69" t="e">
        <f t="shared" si="1"/>
        <v>#DIV/0!</v>
      </c>
      <c r="G14" s="69"/>
    </row>
    <row r="15" spans="1:9" ht="30" customHeight="1" x14ac:dyDescent="0.2">
      <c r="A15" s="62">
        <v>64</v>
      </c>
      <c r="B15" s="63" t="s">
        <v>55</v>
      </c>
      <c r="C15" s="64">
        <f>SUM(C16,C18)</f>
        <v>0.1141416152365784</v>
      </c>
      <c r="D15" s="64">
        <f>SUM(D16,D18)</f>
        <v>0</v>
      </c>
      <c r="E15" s="64">
        <f>SUM(E16,E18)</f>
        <v>0</v>
      </c>
      <c r="F15" s="65">
        <f t="shared" si="0"/>
        <v>0</v>
      </c>
      <c r="G15" s="65" t="e">
        <f>E15/D15*100</f>
        <v>#DIV/0!</v>
      </c>
    </row>
    <row r="16" spans="1:9" s="27" customFormat="1" ht="30" customHeight="1" x14ac:dyDescent="0.2">
      <c r="A16" s="66">
        <v>641</v>
      </c>
      <c r="B16" s="67" t="s">
        <v>56</v>
      </c>
      <c r="C16" s="68">
        <f>C17</f>
        <v>0.1141416152365784</v>
      </c>
      <c r="D16" s="68"/>
      <c r="E16" s="68">
        <f>E17</f>
        <v>0</v>
      </c>
      <c r="F16" s="69">
        <f t="shared" si="0"/>
        <v>0</v>
      </c>
      <c r="G16" s="69"/>
    </row>
    <row r="17" spans="1:16" ht="30" customHeight="1" x14ac:dyDescent="0.2">
      <c r="A17" s="70">
        <v>6413</v>
      </c>
      <c r="B17" s="71" t="s">
        <v>57</v>
      </c>
      <c r="C17" s="72">
        <f>0.86/7.5345</f>
        <v>0.1141416152365784</v>
      </c>
      <c r="D17" s="72"/>
      <c r="E17" s="72">
        <v>0</v>
      </c>
      <c r="F17" s="69">
        <f t="shared" si="0"/>
        <v>0</v>
      </c>
      <c r="G17" s="73"/>
    </row>
    <row r="18" spans="1:16" s="27" customFormat="1" ht="30" customHeight="1" x14ac:dyDescent="0.2">
      <c r="A18" s="66">
        <v>642</v>
      </c>
      <c r="B18" s="67" t="s">
        <v>58</v>
      </c>
      <c r="C18" s="68">
        <f>C19</f>
        <v>0</v>
      </c>
      <c r="D18" s="68"/>
      <c r="E18" s="68">
        <f>E19</f>
        <v>0</v>
      </c>
      <c r="F18" s="69" t="e">
        <f t="shared" si="0"/>
        <v>#DIV/0!</v>
      </c>
      <c r="G18" s="69"/>
    </row>
    <row r="19" spans="1:16" ht="30" customHeight="1" x14ac:dyDescent="0.2">
      <c r="A19" s="70">
        <v>6422</v>
      </c>
      <c r="B19" s="71" t="s">
        <v>59</v>
      </c>
      <c r="C19" s="72">
        <v>0</v>
      </c>
      <c r="D19" s="72"/>
      <c r="E19" s="72">
        <v>0</v>
      </c>
      <c r="F19" s="69" t="e">
        <f t="shared" si="0"/>
        <v>#DIV/0!</v>
      </c>
      <c r="G19" s="73"/>
    </row>
    <row r="20" spans="1:16" s="27" customFormat="1" ht="30" customHeight="1" x14ac:dyDescent="0.2">
      <c r="A20" s="62">
        <v>65</v>
      </c>
      <c r="B20" s="63" t="s">
        <v>60</v>
      </c>
      <c r="C20" s="64">
        <f>C21</f>
        <v>145239.72128210231</v>
      </c>
      <c r="D20" s="64">
        <v>98720.88</v>
      </c>
      <c r="E20" s="64">
        <f>E21</f>
        <v>99363.46</v>
      </c>
      <c r="F20" s="65">
        <f t="shared" si="0"/>
        <v>68.413419636770143</v>
      </c>
      <c r="G20" s="65">
        <f t="shared" ref="G20:G30" si="2">E20/D20*100</f>
        <v>100.65090586712759</v>
      </c>
    </row>
    <row r="21" spans="1:16" s="30" customFormat="1" ht="30" customHeight="1" x14ac:dyDescent="0.2">
      <c r="A21" s="66">
        <v>652</v>
      </c>
      <c r="B21" s="67" t="s">
        <v>61</v>
      </c>
      <c r="C21" s="68">
        <f>C22</f>
        <v>145239.72128210231</v>
      </c>
      <c r="D21" s="68"/>
      <c r="E21" s="68">
        <f>E22</f>
        <v>99363.46</v>
      </c>
      <c r="F21" s="69">
        <f t="shared" si="0"/>
        <v>68.413419636770143</v>
      </c>
      <c r="G21" s="69"/>
      <c r="H21" s="28"/>
      <c r="I21" s="28"/>
      <c r="J21" s="28"/>
      <c r="K21" s="28"/>
      <c r="L21" s="28"/>
      <c r="M21" s="29"/>
      <c r="N21" s="29"/>
      <c r="O21" s="29"/>
      <c r="P21" s="29"/>
    </row>
    <row r="22" spans="1:16" s="27" customFormat="1" ht="30" customHeight="1" x14ac:dyDescent="0.2">
      <c r="A22" s="70">
        <v>6526</v>
      </c>
      <c r="B22" s="71" t="s">
        <v>62</v>
      </c>
      <c r="C22" s="72">
        <f>1094308.68/7.5345</f>
        <v>145239.72128210231</v>
      </c>
      <c r="D22" s="72"/>
      <c r="E22" s="72">
        <v>99363.46</v>
      </c>
      <c r="F22" s="69">
        <f t="shared" si="0"/>
        <v>68.413419636770143</v>
      </c>
      <c r="G22" s="69"/>
      <c r="H22" s="31"/>
      <c r="I22" s="31"/>
      <c r="J22" s="31"/>
      <c r="K22" s="31"/>
      <c r="L22" s="31"/>
      <c r="M22" s="31"/>
      <c r="N22" s="31"/>
      <c r="O22" s="32"/>
      <c r="P22" s="32"/>
    </row>
    <row r="23" spans="1:16" ht="36.75" customHeight="1" x14ac:dyDescent="0.2">
      <c r="A23" s="62">
        <v>66</v>
      </c>
      <c r="B23" s="63" t="s">
        <v>63</v>
      </c>
      <c r="C23" s="64">
        <f>SUM(C24,C27)</f>
        <v>12324.925343420266</v>
      </c>
      <c r="D23" s="64">
        <v>15845.44</v>
      </c>
      <c r="E23" s="64">
        <f>SUM(E24,E27)</f>
        <v>37880.01</v>
      </c>
      <c r="F23" s="65">
        <f t="shared" si="0"/>
        <v>307.34474201275765</v>
      </c>
      <c r="G23" s="65">
        <f t="shared" si="2"/>
        <v>239.05937607286387</v>
      </c>
    </row>
    <row r="24" spans="1:16" s="27" customFormat="1" ht="30" customHeight="1" x14ac:dyDescent="0.2">
      <c r="A24" s="66">
        <v>661</v>
      </c>
      <c r="B24" s="67" t="s">
        <v>64</v>
      </c>
      <c r="C24" s="68">
        <f>C26+C25</f>
        <v>11727.672705554449</v>
      </c>
      <c r="D24" s="68"/>
      <c r="E24" s="68">
        <f>E26+E25</f>
        <v>20948.990000000002</v>
      </c>
      <c r="F24" s="69">
        <f t="shared" si="0"/>
        <v>178.62870601835743</v>
      </c>
      <c r="G24" s="69"/>
    </row>
    <row r="25" spans="1:16" s="27" customFormat="1" ht="30" customHeight="1" x14ac:dyDescent="0.2">
      <c r="A25" s="70">
        <v>6614</v>
      </c>
      <c r="B25" s="71" t="s">
        <v>65</v>
      </c>
      <c r="C25" s="72">
        <f>4227.85/7.5345</f>
        <v>561.13212555577672</v>
      </c>
      <c r="D25" s="72"/>
      <c r="E25" s="72">
        <v>455.79</v>
      </c>
      <c r="F25" s="73"/>
      <c r="G25" s="73"/>
    </row>
    <row r="26" spans="1:16" ht="30" customHeight="1" x14ac:dyDescent="0.2">
      <c r="A26" s="70">
        <v>6615</v>
      </c>
      <c r="B26" s="71" t="s">
        <v>66</v>
      </c>
      <c r="C26" s="72">
        <f>84134.3/7.5345</f>
        <v>11166.540579998673</v>
      </c>
      <c r="D26" s="72"/>
      <c r="E26" s="72">
        <v>20493.2</v>
      </c>
      <c r="F26" s="69">
        <f>E26/C26*100</f>
        <v>183.52326625407235</v>
      </c>
      <c r="G26" s="69"/>
    </row>
    <row r="27" spans="1:16" s="27" customFormat="1" ht="30" customHeight="1" x14ac:dyDescent="0.2">
      <c r="A27" s="66">
        <v>663</v>
      </c>
      <c r="B27" s="67" t="s">
        <v>67</v>
      </c>
      <c r="C27" s="68">
        <f>C28+C29</f>
        <v>597.25263786581718</v>
      </c>
      <c r="D27" s="68"/>
      <c r="E27" s="68">
        <f>E28+E29</f>
        <v>16931.02</v>
      </c>
      <c r="F27" s="69">
        <f>E27/C27*100</f>
        <v>2834.8171153333337</v>
      </c>
      <c r="G27" s="69"/>
    </row>
    <row r="28" spans="1:16" ht="37.5" customHeight="1" x14ac:dyDescent="0.2">
      <c r="A28" s="70">
        <v>6631</v>
      </c>
      <c r="B28" s="71" t="s">
        <v>68</v>
      </c>
      <c r="C28" s="72">
        <f>4500/7.5345</f>
        <v>597.25263786581718</v>
      </c>
      <c r="D28" s="72"/>
      <c r="E28" s="72">
        <v>4375.45</v>
      </c>
      <c r="F28" s="69">
        <f>E28/C28*100</f>
        <v>732.59617833333334</v>
      </c>
      <c r="G28" s="69"/>
    </row>
    <row r="29" spans="1:16" ht="37.5" customHeight="1" x14ac:dyDescent="0.2">
      <c r="A29" s="70">
        <v>6632</v>
      </c>
      <c r="B29" s="71" t="s">
        <v>69</v>
      </c>
      <c r="C29" s="72">
        <v>0</v>
      </c>
      <c r="D29" s="72"/>
      <c r="E29" s="72">
        <v>12555.57</v>
      </c>
      <c r="F29" s="69"/>
      <c r="G29" s="69"/>
    </row>
    <row r="30" spans="1:16" ht="36.75" customHeight="1" x14ac:dyDescent="0.2">
      <c r="A30" s="62">
        <v>67</v>
      </c>
      <c r="B30" s="63" t="s">
        <v>70</v>
      </c>
      <c r="C30" s="64">
        <f>C31</f>
        <v>582424.62538987317</v>
      </c>
      <c r="D30" s="64">
        <v>691773.21</v>
      </c>
      <c r="E30" s="64">
        <f>E31</f>
        <v>685525.39</v>
      </c>
      <c r="F30" s="65">
        <f t="shared" ref="F30:F35" si="3">E30/C30*100</f>
        <v>117.70199268980284</v>
      </c>
      <c r="G30" s="65">
        <f t="shared" si="2"/>
        <v>99.096839844376177</v>
      </c>
    </row>
    <row r="31" spans="1:16" ht="30" customHeight="1" x14ac:dyDescent="0.2">
      <c r="A31" s="66">
        <v>671</v>
      </c>
      <c r="B31" s="67" t="s">
        <v>71</v>
      </c>
      <c r="C31" s="68">
        <f>SUM(C32:C33)</f>
        <v>582424.62538987317</v>
      </c>
      <c r="D31" s="68"/>
      <c r="E31" s="68">
        <f>SUM(E32:E33)</f>
        <v>685525.39</v>
      </c>
      <c r="F31" s="69">
        <f t="shared" si="3"/>
        <v>117.70199268980284</v>
      </c>
      <c r="G31" s="69"/>
    </row>
    <row r="32" spans="1:16" ht="30" customHeight="1" x14ac:dyDescent="0.2">
      <c r="A32" s="70">
        <v>6711</v>
      </c>
      <c r="B32" s="71" t="s">
        <v>72</v>
      </c>
      <c r="C32" s="72">
        <f>4124371.34/7.5345</f>
        <v>547398.14718959446</v>
      </c>
      <c r="D32" s="72"/>
      <c r="E32" s="72">
        <v>633856.59</v>
      </c>
      <c r="F32" s="69">
        <f t="shared" si="3"/>
        <v>115.79443468237758</v>
      </c>
      <c r="G32" s="69"/>
    </row>
    <row r="33" spans="1:8" ht="37.5" customHeight="1" x14ac:dyDescent="0.2">
      <c r="A33" s="70">
        <v>6712</v>
      </c>
      <c r="B33" s="74" t="s">
        <v>73</v>
      </c>
      <c r="C33" s="72">
        <f>263907/7.5345</f>
        <v>35026.478200278718</v>
      </c>
      <c r="D33" s="72"/>
      <c r="E33" s="72">
        <v>51668.800000000003</v>
      </c>
      <c r="F33" s="69">
        <f t="shared" si="3"/>
        <v>147.51354590821768</v>
      </c>
      <c r="G33" s="69"/>
      <c r="H33" s="33"/>
    </row>
    <row r="34" spans="1:8" ht="37.5" customHeight="1" x14ac:dyDescent="0.2">
      <c r="A34" s="192">
        <v>68</v>
      </c>
      <c r="B34" s="193" t="s">
        <v>74</v>
      </c>
      <c r="C34" s="194">
        <f>C35</f>
        <v>55.717034972460013</v>
      </c>
      <c r="D34" s="194">
        <v>0</v>
      </c>
      <c r="E34" s="194">
        <f>E35</f>
        <v>42.55</v>
      </c>
      <c r="F34" s="65">
        <f t="shared" si="3"/>
        <v>76.368026441162456</v>
      </c>
      <c r="G34" s="65" t="e">
        <f>E34/D34*100</f>
        <v>#DIV/0!</v>
      </c>
      <c r="H34" s="33"/>
    </row>
    <row r="35" spans="1:8" ht="37.5" customHeight="1" x14ac:dyDescent="0.2">
      <c r="A35" s="191">
        <v>683</v>
      </c>
      <c r="B35" s="74" t="s">
        <v>75</v>
      </c>
      <c r="C35" s="83">
        <f>C36</f>
        <v>55.717034972460013</v>
      </c>
      <c r="D35" s="83"/>
      <c r="E35" s="83">
        <f>E36</f>
        <v>42.55</v>
      </c>
      <c r="F35" s="69">
        <f t="shared" si="3"/>
        <v>76.368026441162456</v>
      </c>
      <c r="G35" s="69"/>
      <c r="H35" s="33"/>
    </row>
    <row r="36" spans="1:8" ht="37.5" customHeight="1" x14ac:dyDescent="0.2">
      <c r="A36" s="191">
        <v>6831</v>
      </c>
      <c r="B36" s="74" t="s">
        <v>75</v>
      </c>
      <c r="C36" s="83">
        <f>419.8/7.5345</f>
        <v>55.717034972460013</v>
      </c>
      <c r="D36" s="83"/>
      <c r="E36" s="83">
        <v>42.55</v>
      </c>
      <c r="F36" s="69"/>
      <c r="G36" s="69"/>
      <c r="H36" s="33"/>
    </row>
    <row r="37" spans="1:8" s="27" customFormat="1" ht="30" customHeight="1" x14ac:dyDescent="0.2">
      <c r="A37" s="75">
        <v>7</v>
      </c>
      <c r="B37" s="76" t="s">
        <v>76</v>
      </c>
      <c r="C37" s="77">
        <f>SUM(C38,C40)</f>
        <v>27433.804499303202</v>
      </c>
      <c r="D37" s="77">
        <f>SUM(D38,D40)</f>
        <v>0</v>
      </c>
      <c r="E37" s="77">
        <f>SUM(E38,E40)</f>
        <v>1450</v>
      </c>
      <c r="F37" s="61">
        <f t="shared" ref="F37:F45" si="4">E37/C37*100</f>
        <v>5.2854499274310598</v>
      </c>
      <c r="G37" s="61" t="e">
        <f>E37/D37*100</f>
        <v>#DIV/0!</v>
      </c>
      <c r="H37" s="49"/>
    </row>
    <row r="38" spans="1:8" s="27" customFormat="1" ht="30" customHeight="1" x14ac:dyDescent="0.2">
      <c r="A38" s="78">
        <v>71</v>
      </c>
      <c r="B38" s="79" t="s">
        <v>77</v>
      </c>
      <c r="C38" s="80">
        <f>C39</f>
        <v>0</v>
      </c>
      <c r="D38" s="80">
        <f>D39</f>
        <v>0</v>
      </c>
      <c r="E38" s="80">
        <f>E39</f>
        <v>0</v>
      </c>
      <c r="F38" s="65" t="e">
        <f t="shared" si="4"/>
        <v>#DIV/0!</v>
      </c>
      <c r="G38" s="65" t="e">
        <f>E38/D38*100</f>
        <v>#DIV/0!</v>
      </c>
      <c r="H38" s="49"/>
    </row>
    <row r="39" spans="1:8" ht="30" customHeight="1" x14ac:dyDescent="0.2">
      <c r="A39" s="81">
        <v>711</v>
      </c>
      <c r="B39" s="82" t="s">
        <v>78</v>
      </c>
      <c r="C39" s="83">
        <v>0</v>
      </c>
      <c r="D39" s="72"/>
      <c r="E39" s="72"/>
      <c r="F39" s="69" t="e">
        <f t="shared" si="4"/>
        <v>#DIV/0!</v>
      </c>
      <c r="G39" s="69"/>
      <c r="H39" s="33"/>
    </row>
    <row r="40" spans="1:8" s="27" customFormat="1" ht="30" customHeight="1" x14ac:dyDescent="0.2">
      <c r="A40" s="78">
        <v>72</v>
      </c>
      <c r="B40" s="79" t="s">
        <v>79</v>
      </c>
      <c r="C40" s="80">
        <f>SUM(C41:C43)</f>
        <v>27433.804499303202</v>
      </c>
      <c r="D40" s="80">
        <v>0</v>
      </c>
      <c r="E40" s="80">
        <f>SUM(E41:E43)</f>
        <v>1450</v>
      </c>
      <c r="F40" s="65">
        <f t="shared" si="4"/>
        <v>5.2854499274310598</v>
      </c>
      <c r="G40" s="65" t="e">
        <f>E40/D40*100</f>
        <v>#DIV/0!</v>
      </c>
      <c r="H40" s="49"/>
    </row>
    <row r="41" spans="1:8" ht="30" customHeight="1" x14ac:dyDescent="0.2">
      <c r="A41" s="81">
        <v>721</v>
      </c>
      <c r="B41" s="82" t="s">
        <v>80</v>
      </c>
      <c r="C41" s="83">
        <f>192500/7.5345</f>
        <v>25549.140619815513</v>
      </c>
      <c r="D41" s="72"/>
      <c r="E41" s="72">
        <v>0</v>
      </c>
      <c r="F41" s="69">
        <f t="shared" si="4"/>
        <v>0</v>
      </c>
      <c r="G41" s="69"/>
      <c r="H41" s="33"/>
    </row>
    <row r="42" spans="1:8" ht="30" customHeight="1" x14ac:dyDescent="0.2">
      <c r="A42" s="81">
        <v>722</v>
      </c>
      <c r="B42" s="82" t="s">
        <v>81</v>
      </c>
      <c r="C42" s="83">
        <v>0</v>
      </c>
      <c r="D42" s="72"/>
      <c r="E42" s="72">
        <v>1450</v>
      </c>
      <c r="F42" s="69" t="e">
        <f t="shared" si="4"/>
        <v>#DIV/0!</v>
      </c>
      <c r="G42" s="69"/>
      <c r="H42" s="33"/>
    </row>
    <row r="43" spans="1:8" ht="30" customHeight="1" x14ac:dyDescent="0.2">
      <c r="A43" s="84">
        <v>723</v>
      </c>
      <c r="B43" s="85" t="s">
        <v>82</v>
      </c>
      <c r="C43" s="86">
        <f>14200/7.5345</f>
        <v>1884.6638794876899</v>
      </c>
      <c r="D43" s="87"/>
      <c r="E43" s="87">
        <v>0</v>
      </c>
      <c r="F43" s="69">
        <f t="shared" si="4"/>
        <v>0</v>
      </c>
      <c r="G43" s="69"/>
      <c r="H43" s="33"/>
    </row>
    <row r="44" spans="1:8" ht="30" customHeight="1" x14ac:dyDescent="0.2">
      <c r="A44" s="233">
        <v>9</v>
      </c>
      <c r="B44" s="234" t="s">
        <v>83</v>
      </c>
      <c r="C44" s="235">
        <f>C45</f>
        <v>0</v>
      </c>
      <c r="D44" s="236">
        <v>12793.57</v>
      </c>
      <c r="E44" s="235">
        <f>E45</f>
        <v>0</v>
      </c>
      <c r="F44" s="61" t="e">
        <f t="shared" si="4"/>
        <v>#DIV/0!</v>
      </c>
      <c r="G44" s="61">
        <f>E44/D44*100</f>
        <v>0</v>
      </c>
      <c r="H44" s="33"/>
    </row>
    <row r="45" spans="1:8" ht="30" customHeight="1" x14ac:dyDescent="0.2">
      <c r="A45" s="84">
        <v>92</v>
      </c>
      <c r="B45" s="85" t="s">
        <v>84</v>
      </c>
      <c r="C45" s="86">
        <f>C46</f>
        <v>0</v>
      </c>
      <c r="D45" s="87">
        <v>12793.57</v>
      </c>
      <c r="E45" s="86">
        <f>E46</f>
        <v>0</v>
      </c>
      <c r="F45" s="65" t="e">
        <f t="shared" si="4"/>
        <v>#DIV/0!</v>
      </c>
      <c r="G45" s="65">
        <f>E45/D45*100</f>
        <v>0</v>
      </c>
      <c r="H45" s="33"/>
    </row>
    <row r="46" spans="1:8" ht="30" customHeight="1" x14ac:dyDescent="0.2">
      <c r="A46" s="84">
        <v>922</v>
      </c>
      <c r="B46" s="85" t="s">
        <v>85</v>
      </c>
      <c r="C46" s="86">
        <v>0</v>
      </c>
      <c r="D46" s="87"/>
      <c r="E46" s="87">
        <v>0</v>
      </c>
      <c r="F46" s="69"/>
      <c r="G46" s="69"/>
      <c r="H46" s="33"/>
    </row>
    <row r="47" spans="1:8" ht="30" customHeight="1" x14ac:dyDescent="0.2">
      <c r="A47" s="255" t="s">
        <v>86</v>
      </c>
      <c r="B47" s="256"/>
      <c r="C47" s="88">
        <f>SUM(C4,C37,C44)</f>
        <v>2435358.6655179504</v>
      </c>
      <c r="D47" s="88">
        <f>SUM(D4,D37,D44)</f>
        <v>2824285.11</v>
      </c>
      <c r="E47" s="88">
        <f>SUM(E4,E37,E44)</f>
        <v>2846842.6399999997</v>
      </c>
      <c r="F47" s="61">
        <f>E47/C47*100</f>
        <v>116.89623710495781</v>
      </c>
      <c r="G47" s="61">
        <f>E47/D47*100</f>
        <v>100.7986987546027</v>
      </c>
    </row>
    <row r="48" spans="1:8" ht="30" customHeight="1" x14ac:dyDescent="0.2">
      <c r="A48" s="41"/>
      <c r="B48" s="34"/>
      <c r="C48" s="38"/>
      <c r="D48" s="38"/>
      <c r="E48" s="38"/>
      <c r="F48" s="35"/>
      <c r="G48" s="35"/>
    </row>
    <row r="49" spans="1:7" s="37" customFormat="1" ht="20.25" customHeight="1" x14ac:dyDescent="0.2">
      <c r="A49" s="254" t="s">
        <v>87</v>
      </c>
      <c r="B49" s="254"/>
      <c r="C49" s="254"/>
      <c r="D49" s="254"/>
      <c r="E49" s="254"/>
      <c r="F49" s="254"/>
      <c r="G49" s="254"/>
    </row>
    <row r="50" spans="1:7" s="25" customFormat="1" ht="67.5" customHeight="1" x14ac:dyDescent="0.2">
      <c r="A50" s="89" t="s">
        <v>88</v>
      </c>
      <c r="B50" s="51" t="s">
        <v>89</v>
      </c>
      <c r="C50" s="52" t="s">
        <v>10</v>
      </c>
      <c r="D50" s="52" t="s">
        <v>11</v>
      </c>
      <c r="E50" s="52" t="s">
        <v>12</v>
      </c>
      <c r="F50" s="53" t="s">
        <v>13</v>
      </c>
      <c r="G50" s="54" t="s">
        <v>14</v>
      </c>
    </row>
    <row r="51" spans="1:7" s="40" customFormat="1" ht="13.5" customHeight="1" x14ac:dyDescent="0.2">
      <c r="A51" s="252">
        <v>1</v>
      </c>
      <c r="B51" s="253"/>
      <c r="C51" s="55">
        <v>2</v>
      </c>
      <c r="D51" s="56">
        <v>3</v>
      </c>
      <c r="E51" s="56">
        <v>4</v>
      </c>
      <c r="F51" s="57" t="s">
        <v>15</v>
      </c>
      <c r="G51" s="57" t="s">
        <v>16</v>
      </c>
    </row>
    <row r="52" spans="1:7" ht="19.5" customHeight="1" x14ac:dyDescent="0.2">
      <c r="A52" s="90">
        <v>1</v>
      </c>
      <c r="B52" s="90" t="s">
        <v>90</v>
      </c>
      <c r="C52" s="91">
        <f>2249783.02/7.5345</f>
        <v>298597.52073793882</v>
      </c>
      <c r="D52" s="91">
        <v>585144.11</v>
      </c>
      <c r="E52" s="91">
        <v>587211.05000000005</v>
      </c>
      <c r="F52" s="69">
        <f t="shared" ref="F52:F58" si="5">E52/C52*100</f>
        <v>196.65637160978309</v>
      </c>
      <c r="G52" s="69">
        <f t="shared" ref="G52:G58" si="6">E52/D52*100</f>
        <v>100.35323606008784</v>
      </c>
    </row>
    <row r="53" spans="1:7" ht="19.5" customHeight="1" x14ac:dyDescent="0.25">
      <c r="A53" s="90">
        <v>3</v>
      </c>
      <c r="B53" s="90" t="s">
        <v>91</v>
      </c>
      <c r="C53" s="195">
        <f>C24+C15</f>
        <v>11727.786847169686</v>
      </c>
      <c r="D53" s="91">
        <v>14970.11</v>
      </c>
      <c r="E53" s="91">
        <v>20948.990000000002</v>
      </c>
      <c r="F53" s="69">
        <f t="shared" si="5"/>
        <v>178.62696750031492</v>
      </c>
      <c r="G53" s="69">
        <f t="shared" si="6"/>
        <v>139.93878468494887</v>
      </c>
    </row>
    <row r="54" spans="1:7" ht="19.5" customHeight="1" x14ac:dyDescent="0.2">
      <c r="A54" s="90">
        <v>4</v>
      </c>
      <c r="B54" s="90" t="s">
        <v>92</v>
      </c>
      <c r="C54" s="91">
        <f>3282804/7.5345-6580.42</f>
        <v>429122.54635476804</v>
      </c>
      <c r="D54" s="91">
        <v>171481.08</v>
      </c>
      <c r="E54" s="91">
        <v>167284.51</v>
      </c>
      <c r="F54" s="69">
        <f t="shared" si="5"/>
        <v>38.982922575618076</v>
      </c>
      <c r="G54" s="69">
        <f t="shared" si="6"/>
        <v>97.552750425877903</v>
      </c>
    </row>
    <row r="55" spans="1:7" ht="19.5" customHeight="1" x14ac:dyDescent="0.2">
      <c r="A55" s="90">
        <v>5</v>
      </c>
      <c r="B55" s="90" t="s">
        <v>93</v>
      </c>
      <c r="C55" s="91">
        <f>C5</f>
        <v>1667879.747826664</v>
      </c>
      <c r="D55" s="91">
        <v>2039100.91</v>
      </c>
      <c r="E55" s="91">
        <v>2053017.07</v>
      </c>
      <c r="F55" s="69">
        <f t="shared" si="5"/>
        <v>123.09143226153986</v>
      </c>
      <c r="G55" s="69">
        <f t="shared" si="6"/>
        <v>100.68246548916504</v>
      </c>
    </row>
    <row r="56" spans="1:7" ht="19.5" customHeight="1" x14ac:dyDescent="0.2">
      <c r="A56" s="90">
        <v>6</v>
      </c>
      <c r="B56" s="90" t="s">
        <v>94</v>
      </c>
      <c r="C56" s="91">
        <v>597.25</v>
      </c>
      <c r="D56" s="91">
        <v>875.33</v>
      </c>
      <c r="E56" s="91">
        <v>16931.02</v>
      </c>
      <c r="F56" s="69">
        <f t="shared" si="5"/>
        <v>2834.8296358308917</v>
      </c>
      <c r="G56" s="69">
        <f>E56/D56*100</f>
        <v>1934.2442278911954</v>
      </c>
    </row>
    <row r="57" spans="1:7" ht="19.5" customHeight="1" x14ac:dyDescent="0.2">
      <c r="A57" s="90">
        <v>7</v>
      </c>
      <c r="B57" s="90" t="s">
        <v>95</v>
      </c>
      <c r="C57" s="91">
        <f>206700/7.5345</f>
        <v>27433.804499303205</v>
      </c>
      <c r="D57" s="91">
        <v>12713.57</v>
      </c>
      <c r="E57" s="196">
        <v>1450</v>
      </c>
      <c r="F57" s="69">
        <f t="shared" si="5"/>
        <v>5.2854499274310598</v>
      </c>
      <c r="G57" s="69">
        <f>E57/D57*100</f>
        <v>11.405136401498558</v>
      </c>
    </row>
    <row r="58" spans="1:7" ht="19.149999999999999" customHeight="1" x14ac:dyDescent="0.2">
      <c r="A58" s="92"/>
      <c r="B58" s="93" t="s">
        <v>96</v>
      </c>
      <c r="C58" s="115">
        <f>SUM(C52:C57)</f>
        <v>2435358.6562658437</v>
      </c>
      <c r="D58" s="115">
        <f>SUM(D52:D57)</f>
        <v>2824285.11</v>
      </c>
      <c r="E58" s="115">
        <f>SUM(E52:E57)</f>
        <v>2846842.64</v>
      </c>
      <c r="F58" s="94">
        <f t="shared" si="5"/>
        <v>116.89623754905523</v>
      </c>
      <c r="G58" s="94">
        <f t="shared" si="6"/>
        <v>100.79869875460273</v>
      </c>
    </row>
  </sheetData>
  <mergeCells count="5">
    <mergeCell ref="A1:G1"/>
    <mergeCell ref="A51:B51"/>
    <mergeCell ref="A49:G49"/>
    <mergeCell ref="A3:B3"/>
    <mergeCell ref="A47:B47"/>
  </mergeCells>
  <pageMargins left="0.70866141732283472" right="0.70866141732283472" top="0.74803149606299213" bottom="0.74803149606299213" header="0.31496062992125984" footer="0.31496062992125984"/>
  <pageSetup paperSize="9" scale="62" fitToHeight="4" orientation="portrait" r:id="rId1"/>
  <headerFooter alignWithMargins="0">
    <oddHeader>&amp;LOsnovna škola "Vazmoslav Gržalja"&amp;RIzvještaj o izvršenju Financijskog plana za razdoblje od 01.01. do 31.12.2023.g.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93"/>
  <sheetViews>
    <sheetView topLeftCell="A86" zoomScale="89" zoomScaleNormal="89" workbookViewId="0">
      <selection activeCell="B6" sqref="B6"/>
    </sheetView>
  </sheetViews>
  <sheetFormatPr defaultRowHeight="12.75" x14ac:dyDescent="0.2"/>
  <cols>
    <col min="1" max="1" width="9.28515625" style="42" customWidth="1"/>
    <col min="2" max="2" width="42.28515625" style="21" customWidth="1"/>
    <col min="3" max="3" width="18.42578125" style="22" customWidth="1"/>
    <col min="4" max="4" width="18.85546875" style="22" customWidth="1"/>
    <col min="5" max="5" width="18" style="22" customWidth="1"/>
    <col min="6" max="6" width="16.28515625" style="23" customWidth="1"/>
    <col min="7" max="7" width="15.28515625" style="24" customWidth="1"/>
    <col min="8" max="8" width="6.5703125" style="21" customWidth="1"/>
    <col min="9" max="12" width="15.140625" style="21" customWidth="1"/>
    <col min="13" max="13" width="16.7109375" style="21" hidden="1" customWidth="1"/>
    <col min="14" max="14" width="16.42578125" style="21" hidden="1" customWidth="1"/>
    <col min="15" max="15" width="12.5703125" style="21" hidden="1" customWidth="1"/>
    <col min="16" max="16" width="15.140625" style="21" customWidth="1"/>
    <col min="17" max="16384" width="9.140625" style="21"/>
  </cols>
  <sheetData>
    <row r="1" spans="1:7" ht="22.5" customHeight="1" x14ac:dyDescent="0.2">
      <c r="A1" s="258" t="s">
        <v>97</v>
      </c>
      <c r="B1" s="258"/>
      <c r="C1" s="258"/>
      <c r="D1" s="258"/>
      <c r="E1" s="258"/>
      <c r="F1" s="258"/>
      <c r="G1" s="258"/>
    </row>
    <row r="2" spans="1:7" s="39" customFormat="1" ht="75" x14ac:dyDescent="0.2">
      <c r="A2" s="50" t="s">
        <v>98</v>
      </c>
      <c r="B2" s="51" t="s">
        <v>43</v>
      </c>
      <c r="C2" s="52" t="s">
        <v>10</v>
      </c>
      <c r="D2" s="52" t="s">
        <v>11</v>
      </c>
      <c r="E2" s="52" t="s">
        <v>12</v>
      </c>
      <c r="F2" s="53" t="s">
        <v>13</v>
      </c>
      <c r="G2" s="54" t="s">
        <v>14</v>
      </c>
    </row>
    <row r="3" spans="1:7" s="40" customFormat="1" ht="15" x14ac:dyDescent="0.2">
      <c r="A3" s="259">
        <v>1</v>
      </c>
      <c r="B3" s="260"/>
      <c r="C3" s="95">
        <v>2</v>
      </c>
      <c r="D3" s="96">
        <v>4</v>
      </c>
      <c r="E3" s="96">
        <v>5</v>
      </c>
      <c r="F3" s="96" t="s">
        <v>99</v>
      </c>
      <c r="G3" s="56" t="s">
        <v>100</v>
      </c>
    </row>
    <row r="4" spans="1:7" ht="25.5" customHeight="1" x14ac:dyDescent="0.2">
      <c r="A4" s="58">
        <v>3</v>
      </c>
      <c r="B4" s="97" t="s">
        <v>101</v>
      </c>
      <c r="C4" s="98">
        <f>SUM(C5,C15,C47,C51,C56,C59)</f>
        <v>2376066.8484969144</v>
      </c>
      <c r="D4" s="98">
        <f>SUM(D5,D15,D47,D51,D56,D59)</f>
        <v>2736646.3300000005</v>
      </c>
      <c r="E4" s="98">
        <f>SUM(E5,E15,E47,E51,E56,E59)</f>
        <v>2716108.59</v>
      </c>
      <c r="F4" s="99">
        <f t="shared" ref="F4:F35" si="0">E4/C4*100</f>
        <v>114.31111846529882</v>
      </c>
      <c r="G4" s="61">
        <f>E4/D4*100</f>
        <v>99.249528893271318</v>
      </c>
    </row>
    <row r="5" spans="1:7" ht="15" x14ac:dyDescent="0.2">
      <c r="A5" s="62">
        <v>31</v>
      </c>
      <c r="B5" s="100" t="s">
        <v>102</v>
      </c>
      <c r="C5" s="101">
        <f>SUM(C6,C10,C12)</f>
        <v>1608222.6783462735</v>
      </c>
      <c r="D5" s="101">
        <v>1846055.35</v>
      </c>
      <c r="E5" s="101">
        <f>SUM(E6,E10,E12)</f>
        <v>1849549.19</v>
      </c>
      <c r="F5" s="102">
        <f t="shared" si="0"/>
        <v>115.00578961502279</v>
      </c>
      <c r="G5" s="65">
        <f>E5/D5*100</f>
        <v>100.18925976406936</v>
      </c>
    </row>
    <row r="6" spans="1:7" ht="15" x14ac:dyDescent="0.2">
      <c r="A6" s="62">
        <v>311</v>
      </c>
      <c r="B6" s="100" t="s">
        <v>103</v>
      </c>
      <c r="C6" s="101">
        <f>SUM(C7:C9)</f>
        <v>1325654.8994624724</v>
      </c>
      <c r="D6" s="101"/>
      <c r="E6" s="101">
        <f>SUM(E7:E9)</f>
        <v>1515121.31</v>
      </c>
      <c r="F6" s="102">
        <f t="shared" si="0"/>
        <v>114.29228757909414</v>
      </c>
      <c r="G6" s="65"/>
    </row>
    <row r="7" spans="1:7" ht="14.25" x14ac:dyDescent="0.2">
      <c r="A7" s="70">
        <v>3111</v>
      </c>
      <c r="B7" s="71" t="s">
        <v>104</v>
      </c>
      <c r="C7" s="103">
        <f>9503491.9/7.5345</f>
        <v>1261330.1347136504</v>
      </c>
      <c r="D7" s="103"/>
      <c r="E7" s="103">
        <v>1441865.62</v>
      </c>
      <c r="F7" s="104">
        <f t="shared" si="0"/>
        <v>114.31310331195212</v>
      </c>
      <c r="G7" s="69"/>
    </row>
    <row r="8" spans="1:7" ht="14.25" x14ac:dyDescent="0.2">
      <c r="A8" s="70">
        <v>3113</v>
      </c>
      <c r="B8" s="71" t="s">
        <v>105</v>
      </c>
      <c r="C8" s="103">
        <f>228445.97/7.5345</f>
        <v>30319.99070940341</v>
      </c>
      <c r="D8" s="103"/>
      <c r="E8" s="103">
        <v>37205.64</v>
      </c>
      <c r="F8" s="104">
        <f t="shared" si="0"/>
        <v>122.70993205964631</v>
      </c>
      <c r="G8" s="69"/>
    </row>
    <row r="9" spans="1:7" ht="14.25" x14ac:dyDescent="0.2">
      <c r="A9" s="70">
        <v>3114</v>
      </c>
      <c r="B9" s="71" t="s">
        <v>106</v>
      </c>
      <c r="C9" s="103">
        <f>256208.97/7.5345</f>
        <v>34004.774039418669</v>
      </c>
      <c r="D9" s="103"/>
      <c r="E9" s="103">
        <v>36050.050000000003</v>
      </c>
      <c r="F9" s="104">
        <f t="shared" si="0"/>
        <v>106.01467299329921</v>
      </c>
      <c r="G9" s="69"/>
    </row>
    <row r="10" spans="1:7" ht="15" x14ac:dyDescent="0.2">
      <c r="A10" s="62">
        <v>312</v>
      </c>
      <c r="B10" s="100" t="s">
        <v>107</v>
      </c>
      <c r="C10" s="101">
        <f>SUM(C11)</f>
        <v>63741.522330612512</v>
      </c>
      <c r="D10" s="101"/>
      <c r="E10" s="101">
        <f>SUM(E11)</f>
        <v>84426.49</v>
      </c>
      <c r="F10" s="102">
        <f t="shared" si="0"/>
        <v>132.45132358480453</v>
      </c>
      <c r="G10" s="65"/>
    </row>
    <row r="11" spans="1:7" ht="14.25" x14ac:dyDescent="0.2">
      <c r="A11" s="70" t="s">
        <v>108</v>
      </c>
      <c r="B11" s="105" t="s">
        <v>107</v>
      </c>
      <c r="C11" s="103">
        <f>480260.5/7.5345</f>
        <v>63741.522330612512</v>
      </c>
      <c r="D11" s="103"/>
      <c r="E11" s="103">
        <v>84426.49</v>
      </c>
      <c r="F11" s="104">
        <f t="shared" si="0"/>
        <v>132.45132358480453</v>
      </c>
      <c r="G11" s="69"/>
    </row>
    <row r="12" spans="1:7" ht="15" x14ac:dyDescent="0.2">
      <c r="A12" s="62">
        <v>313</v>
      </c>
      <c r="B12" s="100" t="s">
        <v>109</v>
      </c>
      <c r="C12" s="101">
        <f>SUM(C13:C14)</f>
        <v>218826.25655318864</v>
      </c>
      <c r="D12" s="101"/>
      <c r="E12" s="101">
        <f>SUM(E13:E14)</f>
        <v>250001.39</v>
      </c>
      <c r="F12" s="102">
        <f t="shared" si="0"/>
        <v>114.24652321794566</v>
      </c>
      <c r="G12" s="65"/>
    </row>
    <row r="13" spans="1:7" ht="28.5" x14ac:dyDescent="0.2">
      <c r="A13" s="70">
        <v>3132</v>
      </c>
      <c r="B13" s="105" t="s">
        <v>110</v>
      </c>
      <c r="C13" s="103">
        <f>1647040.8/7.5345</f>
        <v>218599.88054947241</v>
      </c>
      <c r="D13" s="103"/>
      <c r="E13" s="103">
        <v>249986.07</v>
      </c>
      <c r="F13" s="104">
        <f t="shared" si="0"/>
        <v>114.35782552654435</v>
      </c>
      <c r="G13" s="69"/>
    </row>
    <row r="14" spans="1:7" ht="42.75" x14ac:dyDescent="0.2">
      <c r="A14" s="70">
        <v>3133</v>
      </c>
      <c r="B14" s="105" t="s">
        <v>111</v>
      </c>
      <c r="C14" s="103">
        <f>1705.63/7.5345</f>
        <v>226.37600371623864</v>
      </c>
      <c r="D14" s="103"/>
      <c r="E14" s="103">
        <v>15.32</v>
      </c>
      <c r="F14" s="104">
        <f t="shared" si="0"/>
        <v>6.7675017442235417</v>
      </c>
      <c r="G14" s="69"/>
    </row>
    <row r="15" spans="1:7" ht="15" x14ac:dyDescent="0.2">
      <c r="A15" s="62">
        <v>32</v>
      </c>
      <c r="B15" s="100" t="s">
        <v>112</v>
      </c>
      <c r="C15" s="101">
        <f>SUM(C16,C21,C28,C38,C40)</f>
        <v>428154.83575552457</v>
      </c>
      <c r="D15" s="101">
        <v>473028.33</v>
      </c>
      <c r="E15" s="101">
        <f>SUM(E16,E21,E28,E38,E40)</f>
        <v>450123.81000000006</v>
      </c>
      <c r="F15" s="102">
        <f t="shared" si="0"/>
        <v>105.13108165780936</v>
      </c>
      <c r="G15" s="65">
        <f>E15/D15*100</f>
        <v>95.157896779670693</v>
      </c>
    </row>
    <row r="16" spans="1:7" ht="15" x14ac:dyDescent="0.2">
      <c r="A16" s="62">
        <v>321</v>
      </c>
      <c r="B16" s="100" t="s">
        <v>113</v>
      </c>
      <c r="C16" s="101">
        <f>SUM(C17:C20)</f>
        <v>70576.964629371549</v>
      </c>
      <c r="D16" s="101"/>
      <c r="E16" s="101">
        <f>SUM(E17:E20)</f>
        <v>83206.52</v>
      </c>
      <c r="F16" s="102">
        <f t="shared" si="0"/>
        <v>117.89472731924843</v>
      </c>
      <c r="G16" s="65"/>
    </row>
    <row r="17" spans="1:7" ht="14.25" x14ac:dyDescent="0.2">
      <c r="A17" s="70" t="s">
        <v>114</v>
      </c>
      <c r="B17" s="105" t="s">
        <v>115</v>
      </c>
      <c r="C17" s="103">
        <f>44673.81/7.5345</f>
        <v>5929.2335257814048</v>
      </c>
      <c r="D17" s="103"/>
      <c r="E17" s="103">
        <v>6479.85</v>
      </c>
      <c r="F17" s="104">
        <f t="shared" si="0"/>
        <v>109.2864696899593</v>
      </c>
      <c r="G17" s="69"/>
    </row>
    <row r="18" spans="1:7" ht="28.5" x14ac:dyDescent="0.2">
      <c r="A18" s="70" t="s">
        <v>116</v>
      </c>
      <c r="B18" s="105" t="s">
        <v>117</v>
      </c>
      <c r="C18" s="103">
        <f>482088.33/7.5345</f>
        <v>63984.117061517019</v>
      </c>
      <c r="D18" s="103"/>
      <c r="E18" s="103">
        <v>76236.67</v>
      </c>
      <c r="F18" s="104">
        <f t="shared" si="0"/>
        <v>119.1493662821085</v>
      </c>
      <c r="G18" s="69"/>
    </row>
    <row r="19" spans="1:7" ht="14.25" x14ac:dyDescent="0.2">
      <c r="A19" s="70">
        <v>3213</v>
      </c>
      <c r="B19" s="105" t="s">
        <v>118</v>
      </c>
      <c r="C19" s="103">
        <f>5000/7.5345</f>
        <v>663.61404207313024</v>
      </c>
      <c r="D19" s="103"/>
      <c r="E19" s="103">
        <v>490</v>
      </c>
      <c r="F19" s="104">
        <f t="shared" si="0"/>
        <v>73.838100000000011</v>
      </c>
      <c r="G19" s="69"/>
    </row>
    <row r="20" spans="1:7" ht="28.5" x14ac:dyDescent="0.2">
      <c r="A20" s="70">
        <v>3214</v>
      </c>
      <c r="B20" s="105" t="s">
        <v>119</v>
      </c>
      <c r="C20" s="103">
        <v>0</v>
      </c>
      <c r="D20" s="103"/>
      <c r="E20" s="103">
        <v>0</v>
      </c>
      <c r="F20" s="104" t="e">
        <f t="shared" si="0"/>
        <v>#DIV/0!</v>
      </c>
      <c r="G20" s="73"/>
    </row>
    <row r="21" spans="1:7" ht="15" x14ac:dyDescent="0.2">
      <c r="A21" s="62">
        <v>322</v>
      </c>
      <c r="B21" s="100" t="s">
        <v>120</v>
      </c>
      <c r="C21" s="101">
        <f>SUM(C22:C27)</f>
        <v>225695.2856858451</v>
      </c>
      <c r="D21" s="101"/>
      <c r="E21" s="101">
        <f>SUM(E22:E27)</f>
        <v>253457.44</v>
      </c>
      <c r="F21" s="102">
        <f t="shared" si="0"/>
        <v>112.30072406244153</v>
      </c>
      <c r="G21" s="65"/>
    </row>
    <row r="22" spans="1:7" ht="28.5" x14ac:dyDescent="0.2">
      <c r="A22" s="70" t="s">
        <v>121</v>
      </c>
      <c r="B22" s="105" t="s">
        <v>122</v>
      </c>
      <c r="C22" s="103">
        <f>195795.24/7.5345</f>
        <v>25986.494127015725</v>
      </c>
      <c r="D22" s="103"/>
      <c r="E22" s="103">
        <v>24140.01</v>
      </c>
      <c r="F22" s="104">
        <f t="shared" si="0"/>
        <v>92.894446946207694</v>
      </c>
      <c r="G22" s="69"/>
    </row>
    <row r="23" spans="1:7" ht="14.25" x14ac:dyDescent="0.2">
      <c r="A23" s="70">
        <v>3222</v>
      </c>
      <c r="B23" s="105" t="s">
        <v>123</v>
      </c>
      <c r="C23" s="103">
        <f>800340.16/7.5345</f>
        <v>106223.39372221116</v>
      </c>
      <c r="D23" s="103"/>
      <c r="E23" s="103">
        <v>131314.65</v>
      </c>
      <c r="F23" s="104">
        <f t="shared" si="0"/>
        <v>123.62121506248043</v>
      </c>
      <c r="G23" s="69"/>
    </row>
    <row r="24" spans="1:7" ht="14.25" x14ac:dyDescent="0.2">
      <c r="A24" s="70" t="s">
        <v>124</v>
      </c>
      <c r="B24" s="105" t="s">
        <v>125</v>
      </c>
      <c r="C24" s="103">
        <f>663947.65/7.5345</f>
        <v>88120.996748291189</v>
      </c>
      <c r="D24" s="103"/>
      <c r="E24" s="103">
        <v>86791.81</v>
      </c>
      <c r="F24" s="104">
        <f t="shared" si="0"/>
        <v>98.491634460186745</v>
      </c>
      <c r="G24" s="69"/>
    </row>
    <row r="25" spans="1:7" ht="28.5" x14ac:dyDescent="0.2">
      <c r="A25" s="70" t="s">
        <v>126</v>
      </c>
      <c r="B25" s="105" t="s">
        <v>127</v>
      </c>
      <c r="C25" s="103">
        <f>23589.62/7.5345</f>
        <v>3130.8806158338307</v>
      </c>
      <c r="D25" s="103"/>
      <c r="E25" s="103">
        <v>3290.74</v>
      </c>
      <c r="F25" s="104">
        <f t="shared" si="0"/>
        <v>105.1058920406518</v>
      </c>
      <c r="G25" s="69"/>
    </row>
    <row r="26" spans="1:7" ht="14.25" x14ac:dyDescent="0.2">
      <c r="A26" s="70">
        <v>3225</v>
      </c>
      <c r="B26" s="105" t="s">
        <v>128</v>
      </c>
      <c r="C26" s="103">
        <f>13313.21/7.5345</f>
        <v>1766.9666202136834</v>
      </c>
      <c r="D26" s="103"/>
      <c r="E26" s="103">
        <v>7382.75</v>
      </c>
      <c r="F26" s="104">
        <f t="shared" si="0"/>
        <v>417.82056975740647</v>
      </c>
      <c r="G26" s="69"/>
    </row>
    <row r="27" spans="1:7" ht="28.5" x14ac:dyDescent="0.2">
      <c r="A27" s="70">
        <v>3227</v>
      </c>
      <c r="B27" s="105" t="s">
        <v>129</v>
      </c>
      <c r="C27" s="103">
        <f>3515.25/7.5345</f>
        <v>466.55385227951422</v>
      </c>
      <c r="D27" s="103"/>
      <c r="E27" s="103">
        <v>537.48</v>
      </c>
      <c r="F27" s="104">
        <f t="shared" si="0"/>
        <v>115.2021352677619</v>
      </c>
      <c r="G27" s="69"/>
    </row>
    <row r="28" spans="1:7" ht="15" x14ac:dyDescent="0.2">
      <c r="A28" s="62">
        <v>323</v>
      </c>
      <c r="B28" s="100" t="s">
        <v>130</v>
      </c>
      <c r="C28" s="101">
        <f>SUM(C29:C37)</f>
        <v>117186.98652863494</v>
      </c>
      <c r="D28" s="101"/>
      <c r="E28" s="101">
        <f>SUM(E29:E37)</f>
        <v>102577.57</v>
      </c>
      <c r="F28" s="102">
        <f t="shared" si="0"/>
        <v>87.533243270945377</v>
      </c>
      <c r="G28" s="65"/>
    </row>
    <row r="29" spans="1:7" ht="28.5" x14ac:dyDescent="0.2">
      <c r="A29" s="70" t="s">
        <v>131</v>
      </c>
      <c r="B29" s="105" t="s">
        <v>132</v>
      </c>
      <c r="C29" s="103">
        <f>143237.29/7.5345</f>
        <v>19010.855398500233</v>
      </c>
      <c r="D29" s="103"/>
      <c r="E29" s="103">
        <v>24374.07</v>
      </c>
      <c r="F29" s="104">
        <f t="shared" si="0"/>
        <v>128.2113271027398</v>
      </c>
      <c r="G29" s="69"/>
    </row>
    <row r="30" spans="1:7" ht="28.5" x14ac:dyDescent="0.2">
      <c r="A30" s="70" t="s">
        <v>133</v>
      </c>
      <c r="B30" s="105" t="s">
        <v>134</v>
      </c>
      <c r="C30" s="103">
        <f>445831.66/7.5345</f>
        <v>59172.029995354693</v>
      </c>
      <c r="D30" s="103"/>
      <c r="E30" s="103">
        <v>29374.18</v>
      </c>
      <c r="F30" s="104">
        <f t="shared" si="0"/>
        <v>49.64200146979244</v>
      </c>
      <c r="G30" s="69"/>
    </row>
    <row r="31" spans="1:7" ht="14.25" x14ac:dyDescent="0.2">
      <c r="A31" s="70">
        <v>3233</v>
      </c>
      <c r="B31" s="105" t="s">
        <v>135</v>
      </c>
      <c r="C31" s="103">
        <f>11510.25/7.5345</f>
        <v>1527.6727055544495</v>
      </c>
      <c r="D31" s="103"/>
      <c r="E31" s="103">
        <v>1592.5</v>
      </c>
      <c r="F31" s="104">
        <f t="shared" si="0"/>
        <v>104.2435329380335</v>
      </c>
      <c r="G31" s="69"/>
    </row>
    <row r="32" spans="1:7" ht="14.25" x14ac:dyDescent="0.2">
      <c r="A32" s="70" t="s">
        <v>136</v>
      </c>
      <c r="B32" s="105" t="s">
        <v>137</v>
      </c>
      <c r="C32" s="103">
        <f>147848.67/7.5345</f>
        <v>19622.890702767272</v>
      </c>
      <c r="D32" s="103"/>
      <c r="E32" s="103">
        <v>21218.77</v>
      </c>
      <c r="F32" s="104">
        <f t="shared" si="0"/>
        <v>108.13274313864305</v>
      </c>
      <c r="G32" s="73"/>
    </row>
    <row r="33" spans="1:7" ht="14.25" x14ac:dyDescent="0.2">
      <c r="A33" s="70">
        <v>3235</v>
      </c>
      <c r="B33" s="105" t="s">
        <v>138</v>
      </c>
      <c r="C33" s="103">
        <f>7239.95/7.5345</f>
        <v>960.90649678147179</v>
      </c>
      <c r="D33" s="103"/>
      <c r="E33" s="103">
        <v>929.73</v>
      </c>
      <c r="F33" s="104">
        <f t="shared" si="0"/>
        <v>96.75551191651877</v>
      </c>
      <c r="G33" s="73"/>
    </row>
    <row r="34" spans="1:7" ht="28.5" x14ac:dyDescent="0.2">
      <c r="A34" s="70">
        <v>3236</v>
      </c>
      <c r="B34" s="105" t="s">
        <v>139</v>
      </c>
      <c r="C34" s="103">
        <f>48782.5/7.5345</f>
        <v>6474.5504014864955</v>
      </c>
      <c r="D34" s="103"/>
      <c r="E34" s="103">
        <v>7103.85</v>
      </c>
      <c r="F34" s="104">
        <f t="shared" si="0"/>
        <v>109.71958760826116</v>
      </c>
      <c r="G34" s="73"/>
    </row>
    <row r="35" spans="1:7" ht="14.25" x14ac:dyDescent="0.2">
      <c r="A35" s="70">
        <v>3237</v>
      </c>
      <c r="B35" s="105" t="s">
        <v>140</v>
      </c>
      <c r="C35" s="103">
        <f>37001.61/7.5345</f>
        <v>4910.9575950627113</v>
      </c>
      <c r="D35" s="103"/>
      <c r="E35" s="103">
        <v>8550.82</v>
      </c>
      <c r="F35" s="104">
        <f t="shared" si="0"/>
        <v>174.11716217213251</v>
      </c>
      <c r="G35" s="73"/>
    </row>
    <row r="36" spans="1:7" ht="14.25" x14ac:dyDescent="0.2">
      <c r="A36" s="70" t="s">
        <v>141</v>
      </c>
      <c r="B36" s="105" t="s">
        <v>142</v>
      </c>
      <c r="C36" s="103">
        <f>10786.09/7.5345</f>
        <v>1431.5601566129139</v>
      </c>
      <c r="D36" s="103"/>
      <c r="E36" s="103">
        <v>1502.06</v>
      </c>
      <c r="F36" s="104">
        <f t="shared" ref="F36:F67" si="1">E36/C36*100</f>
        <v>104.92468605398248</v>
      </c>
      <c r="G36" s="73"/>
    </row>
    <row r="37" spans="1:7" ht="14.25" x14ac:dyDescent="0.2">
      <c r="A37" s="70" t="s">
        <v>143</v>
      </c>
      <c r="B37" s="105" t="s">
        <v>144</v>
      </c>
      <c r="C37" s="103">
        <f>30707.33/7.5345</f>
        <v>4075.5630765146989</v>
      </c>
      <c r="D37" s="103"/>
      <c r="E37" s="103">
        <v>7931.59</v>
      </c>
      <c r="F37" s="104">
        <f t="shared" si="1"/>
        <v>194.61335405911228</v>
      </c>
      <c r="G37" s="73"/>
    </row>
    <row r="38" spans="1:7" ht="30" x14ac:dyDescent="0.2">
      <c r="A38" s="62">
        <v>324</v>
      </c>
      <c r="B38" s="100" t="s">
        <v>145</v>
      </c>
      <c r="C38" s="101">
        <f>SUM(C39)</f>
        <v>0</v>
      </c>
      <c r="D38" s="101"/>
      <c r="E38" s="101">
        <f>SUM(E39)</f>
        <v>0</v>
      </c>
      <c r="F38" s="102" t="e">
        <f t="shared" si="1"/>
        <v>#DIV/0!</v>
      </c>
      <c r="G38" s="65"/>
    </row>
    <row r="39" spans="1:7" ht="28.5" x14ac:dyDescent="0.2">
      <c r="A39" s="70">
        <v>3241</v>
      </c>
      <c r="B39" s="105" t="s">
        <v>145</v>
      </c>
      <c r="C39" s="103">
        <v>0</v>
      </c>
      <c r="D39" s="103"/>
      <c r="E39" s="103">
        <v>0</v>
      </c>
      <c r="F39" s="104" t="e">
        <f t="shared" si="1"/>
        <v>#DIV/0!</v>
      </c>
      <c r="G39" s="69"/>
    </row>
    <row r="40" spans="1:7" ht="30" x14ac:dyDescent="0.2">
      <c r="A40" s="62">
        <v>329</v>
      </c>
      <c r="B40" s="100" t="s">
        <v>146</v>
      </c>
      <c r="C40" s="101">
        <f>SUM(C41:C46)</f>
        <v>14695.598911672971</v>
      </c>
      <c r="D40" s="101"/>
      <c r="E40" s="101">
        <f>SUM(E41:E46)</f>
        <v>10882.279999999999</v>
      </c>
      <c r="F40" s="102">
        <f t="shared" si="1"/>
        <v>74.051286139525857</v>
      </c>
      <c r="G40" s="65"/>
    </row>
    <row r="41" spans="1:7" ht="14.25" x14ac:dyDescent="0.2">
      <c r="A41" s="70">
        <v>3292</v>
      </c>
      <c r="B41" s="105" t="s">
        <v>147</v>
      </c>
      <c r="C41" s="103">
        <f>45579.94/7.5345</f>
        <v>6049.497644170151</v>
      </c>
      <c r="D41" s="103"/>
      <c r="E41" s="103">
        <v>6384.2</v>
      </c>
      <c r="F41" s="104">
        <f t="shared" si="1"/>
        <v>105.53272974909575</v>
      </c>
      <c r="G41" s="73"/>
    </row>
    <row r="42" spans="1:7" ht="14.25" x14ac:dyDescent="0.2">
      <c r="A42" s="70" t="s">
        <v>148</v>
      </c>
      <c r="B42" s="105" t="s">
        <v>149</v>
      </c>
      <c r="C42" s="103">
        <v>0</v>
      </c>
      <c r="D42" s="103"/>
      <c r="E42" s="103">
        <v>56.49</v>
      </c>
      <c r="F42" s="104" t="e">
        <f t="shared" si="1"/>
        <v>#DIV/0!</v>
      </c>
      <c r="G42" s="73"/>
    </row>
    <row r="43" spans="1:7" ht="14.25" x14ac:dyDescent="0.2">
      <c r="A43" s="70">
        <v>3294</v>
      </c>
      <c r="B43" s="105" t="s">
        <v>150</v>
      </c>
      <c r="C43" s="103">
        <f>1200/7.5345</f>
        <v>159.26737009755126</v>
      </c>
      <c r="D43" s="103"/>
      <c r="E43" s="103">
        <v>176.36</v>
      </c>
      <c r="F43" s="104">
        <f t="shared" si="1"/>
        <v>110.73203500000002</v>
      </c>
      <c r="G43" s="73"/>
    </row>
    <row r="44" spans="1:7" ht="14.25" x14ac:dyDescent="0.2">
      <c r="A44" s="70">
        <v>3295</v>
      </c>
      <c r="B44" s="105" t="s">
        <v>151</v>
      </c>
      <c r="C44" s="103">
        <f>15260.26/7.5345</f>
        <v>2025.3845643373813</v>
      </c>
      <c r="D44" s="103"/>
      <c r="E44" s="103">
        <v>2423.4899999999998</v>
      </c>
      <c r="F44" s="104">
        <f t="shared" si="1"/>
        <v>119.65579488816047</v>
      </c>
      <c r="G44" s="73"/>
    </row>
    <row r="45" spans="1:7" ht="14.25" x14ac:dyDescent="0.2">
      <c r="A45" s="70">
        <v>3296</v>
      </c>
      <c r="B45" s="105" t="s">
        <v>152</v>
      </c>
      <c r="C45" s="103">
        <f>45625/7.5345</f>
        <v>6055.4781339173132</v>
      </c>
      <c r="D45" s="103"/>
      <c r="E45" s="103">
        <v>1094.6400000000001</v>
      </c>
      <c r="F45" s="104">
        <f t="shared" si="1"/>
        <v>18.076854969863014</v>
      </c>
      <c r="G45" s="73"/>
    </row>
    <row r="46" spans="1:7" ht="28.5" x14ac:dyDescent="0.2">
      <c r="A46" s="70" t="s">
        <v>153</v>
      </c>
      <c r="B46" s="105" t="s">
        <v>146</v>
      </c>
      <c r="C46" s="103">
        <f>3058.79/7.5345</f>
        <v>405.97119915057402</v>
      </c>
      <c r="D46" s="103"/>
      <c r="E46" s="103">
        <v>747.1</v>
      </c>
      <c r="F46" s="104">
        <f t="shared" si="1"/>
        <v>184.02783290124526</v>
      </c>
      <c r="G46" s="73"/>
    </row>
    <row r="47" spans="1:7" ht="15" x14ac:dyDescent="0.2">
      <c r="A47" s="62">
        <v>34</v>
      </c>
      <c r="B47" s="100" t="s">
        <v>154</v>
      </c>
      <c r="C47" s="101">
        <f>SUM(C48)</f>
        <v>6151.3570907160392</v>
      </c>
      <c r="D47" s="101">
        <v>1563.72</v>
      </c>
      <c r="E47" s="101">
        <f>SUM(E48)</f>
        <v>1109.73</v>
      </c>
      <c r="F47" s="102">
        <f t="shared" si="1"/>
        <v>18.040409354138529</v>
      </c>
      <c r="G47" s="65">
        <f>E47/D47*100</f>
        <v>70.967308725347237</v>
      </c>
    </row>
    <row r="48" spans="1:7" ht="15" x14ac:dyDescent="0.2">
      <c r="A48" s="62">
        <v>343</v>
      </c>
      <c r="B48" s="100" t="s">
        <v>155</v>
      </c>
      <c r="C48" s="101">
        <f>SUM(C49,C50)</f>
        <v>6151.3570907160392</v>
      </c>
      <c r="D48" s="101"/>
      <c r="E48" s="101">
        <f>SUM(E49,E50)</f>
        <v>1109.73</v>
      </c>
      <c r="F48" s="102">
        <f t="shared" si="1"/>
        <v>18.040409354138529</v>
      </c>
      <c r="G48" s="65"/>
    </row>
    <row r="49" spans="1:7" ht="28.5" x14ac:dyDescent="0.2">
      <c r="A49" s="70" t="s">
        <v>156</v>
      </c>
      <c r="B49" s="105" t="s">
        <v>157</v>
      </c>
      <c r="C49" s="103">
        <f>6362.03/7.5345</f>
        <v>844.38648881810332</v>
      </c>
      <c r="D49" s="101"/>
      <c r="E49" s="106">
        <v>704.56</v>
      </c>
      <c r="F49" s="104">
        <f t="shared" si="1"/>
        <v>83.440463499857756</v>
      </c>
      <c r="G49" s="65"/>
    </row>
    <row r="50" spans="1:7" ht="14.25" x14ac:dyDescent="0.2">
      <c r="A50" s="70">
        <v>3433</v>
      </c>
      <c r="B50" s="105" t="s">
        <v>158</v>
      </c>
      <c r="C50" s="103">
        <f>39985.37/7.5345</f>
        <v>5306.9706018979359</v>
      </c>
      <c r="D50" s="103"/>
      <c r="E50" s="103">
        <v>405.17</v>
      </c>
      <c r="F50" s="104">
        <f t="shared" si="1"/>
        <v>7.6346757951720843</v>
      </c>
      <c r="G50" s="69"/>
    </row>
    <row r="51" spans="1:7" ht="30" x14ac:dyDescent="0.2">
      <c r="A51" s="62">
        <v>36</v>
      </c>
      <c r="B51" s="100" t="s">
        <v>159</v>
      </c>
      <c r="C51" s="101">
        <f>SUM(C52)</f>
        <v>164.04539120047778</v>
      </c>
      <c r="D51" s="101">
        <f>D52+D54</f>
        <v>0</v>
      </c>
      <c r="E51" s="101">
        <f>E52+E54</f>
        <v>0</v>
      </c>
      <c r="F51" s="102">
        <f t="shared" si="1"/>
        <v>0</v>
      </c>
      <c r="G51" s="65" t="e">
        <f>E51/D51*100</f>
        <v>#DIV/0!</v>
      </c>
    </row>
    <row r="52" spans="1:7" ht="30" x14ac:dyDescent="0.2">
      <c r="A52" s="62">
        <v>366</v>
      </c>
      <c r="B52" s="100" t="s">
        <v>160</v>
      </c>
      <c r="C52" s="101">
        <f>SUM(C54)</f>
        <v>164.04539120047778</v>
      </c>
      <c r="D52" s="101"/>
      <c r="E52" s="101">
        <f>E53</f>
        <v>0</v>
      </c>
      <c r="F52" s="102">
        <f t="shared" si="1"/>
        <v>0</v>
      </c>
      <c r="G52" s="65"/>
    </row>
    <row r="53" spans="1:7" ht="28.5" x14ac:dyDescent="0.2">
      <c r="A53" s="70">
        <v>3661</v>
      </c>
      <c r="B53" s="105" t="s">
        <v>160</v>
      </c>
      <c r="C53" s="103">
        <v>0</v>
      </c>
      <c r="D53" s="103"/>
      <c r="E53" s="103">
        <v>0</v>
      </c>
      <c r="F53" s="104" t="e">
        <f t="shared" si="1"/>
        <v>#DIV/0!</v>
      </c>
      <c r="G53" s="73"/>
    </row>
    <row r="54" spans="1:7" ht="30" x14ac:dyDescent="0.2">
      <c r="A54" s="62">
        <v>369</v>
      </c>
      <c r="B54" s="100" t="s">
        <v>161</v>
      </c>
      <c r="C54" s="101">
        <f>C55</f>
        <v>164.04539120047778</v>
      </c>
      <c r="D54" s="101"/>
      <c r="E54" s="101">
        <f>E55</f>
        <v>0</v>
      </c>
      <c r="F54" s="102">
        <f t="shared" si="1"/>
        <v>0</v>
      </c>
      <c r="G54" s="65"/>
    </row>
    <row r="55" spans="1:7" ht="28.5" x14ac:dyDescent="0.2">
      <c r="A55" s="70">
        <v>3691</v>
      </c>
      <c r="B55" s="105" t="s">
        <v>161</v>
      </c>
      <c r="C55" s="103">
        <f>1236/7.5345</f>
        <v>164.04539120047778</v>
      </c>
      <c r="D55" s="103"/>
      <c r="E55" s="103">
        <v>0</v>
      </c>
      <c r="F55" s="104">
        <f t="shared" si="1"/>
        <v>0</v>
      </c>
      <c r="G55" s="73"/>
    </row>
    <row r="56" spans="1:7" ht="45" x14ac:dyDescent="0.2">
      <c r="A56" s="62">
        <v>37</v>
      </c>
      <c r="B56" s="100" t="s">
        <v>162</v>
      </c>
      <c r="C56" s="101">
        <f>SUM(C57)</f>
        <v>333221.03523790563</v>
      </c>
      <c r="D56" s="101">
        <v>414950.83</v>
      </c>
      <c r="E56" s="101">
        <f>SUM(E57)</f>
        <v>414277.36</v>
      </c>
      <c r="F56" s="102">
        <f t="shared" si="1"/>
        <v>124.32509241327566</v>
      </c>
      <c r="G56" s="65">
        <f t="shared" ref="G56:G66" si="2">E56/D56*100</f>
        <v>99.837698842535133</v>
      </c>
    </row>
    <row r="57" spans="1:7" ht="30" x14ac:dyDescent="0.2">
      <c r="A57" s="62">
        <v>372</v>
      </c>
      <c r="B57" s="100" t="s">
        <v>163</v>
      </c>
      <c r="C57" s="101">
        <f>SUM(C58)</f>
        <v>333221.03523790563</v>
      </c>
      <c r="D57" s="101"/>
      <c r="E57" s="101">
        <f>SUM(E58)</f>
        <v>414277.36</v>
      </c>
      <c r="F57" s="102">
        <f t="shared" si="1"/>
        <v>124.32509241327566</v>
      </c>
      <c r="G57" s="65"/>
    </row>
    <row r="58" spans="1:7" ht="28.5" x14ac:dyDescent="0.2">
      <c r="A58" s="70">
        <v>3722</v>
      </c>
      <c r="B58" s="105" t="s">
        <v>164</v>
      </c>
      <c r="C58" s="103">
        <f>2510653.89/7.5345</f>
        <v>333221.03523790563</v>
      </c>
      <c r="D58" s="103"/>
      <c r="E58" s="103">
        <v>414277.36</v>
      </c>
      <c r="F58" s="104">
        <f t="shared" si="1"/>
        <v>124.32509241327566</v>
      </c>
      <c r="G58" s="73"/>
    </row>
    <row r="59" spans="1:7" ht="15" x14ac:dyDescent="0.2">
      <c r="A59" s="62">
        <v>38</v>
      </c>
      <c r="B59" s="100" t="s">
        <v>165</v>
      </c>
      <c r="C59" s="101">
        <f>C60</f>
        <v>152.8966752936492</v>
      </c>
      <c r="D59" s="101">
        <v>1048.0999999999999</v>
      </c>
      <c r="E59" s="101">
        <f>E60</f>
        <v>1048.5</v>
      </c>
      <c r="F59" s="102">
        <f t="shared" si="1"/>
        <v>685.75722656250002</v>
      </c>
      <c r="G59" s="65">
        <f>E59/D59*100</f>
        <v>100.03816429729989</v>
      </c>
    </row>
    <row r="60" spans="1:7" ht="15" x14ac:dyDescent="0.2">
      <c r="A60" s="62">
        <v>381</v>
      </c>
      <c r="B60" s="100" t="s">
        <v>166</v>
      </c>
      <c r="C60" s="101">
        <f>C61</f>
        <v>152.8966752936492</v>
      </c>
      <c r="D60" s="101"/>
      <c r="E60" s="101">
        <f>E61</f>
        <v>1048.5</v>
      </c>
      <c r="F60" s="102">
        <f t="shared" si="1"/>
        <v>685.75722656250002</v>
      </c>
      <c r="G60" s="65"/>
    </row>
    <row r="61" spans="1:7" ht="14.25" x14ac:dyDescent="0.2">
      <c r="A61" s="70">
        <v>3811</v>
      </c>
      <c r="B61" s="105" t="s">
        <v>167</v>
      </c>
      <c r="C61" s="103">
        <f>1152/7.5345</f>
        <v>152.8966752936492</v>
      </c>
      <c r="D61" s="103"/>
      <c r="E61" s="103">
        <v>1048.5</v>
      </c>
      <c r="F61" s="104">
        <f t="shared" si="1"/>
        <v>685.75722656250002</v>
      </c>
      <c r="G61" s="73"/>
    </row>
    <row r="62" spans="1:7" ht="30" x14ac:dyDescent="0.2">
      <c r="A62" s="58">
        <v>4</v>
      </c>
      <c r="B62" s="97" t="s">
        <v>168</v>
      </c>
      <c r="C62" s="98">
        <f>SUM(C63,C66,C79)</f>
        <v>47873.743446811328</v>
      </c>
      <c r="D62" s="98">
        <f>SUM(D63,D66,D79)</f>
        <v>87638.78</v>
      </c>
      <c r="E62" s="98">
        <f>SUM(E63,E66,E79)</f>
        <v>118297.68000000001</v>
      </c>
      <c r="F62" s="99">
        <f t="shared" si="1"/>
        <v>247.10346733472193</v>
      </c>
      <c r="G62" s="61">
        <f t="shared" si="2"/>
        <v>134.98325741184439</v>
      </c>
    </row>
    <row r="63" spans="1:7" ht="45" x14ac:dyDescent="0.2">
      <c r="A63" s="62">
        <v>41</v>
      </c>
      <c r="B63" s="100" t="s">
        <v>169</v>
      </c>
      <c r="C63" s="101">
        <f>C64</f>
        <v>0</v>
      </c>
      <c r="D63" s="101">
        <f>SUM(D64)</f>
        <v>0</v>
      </c>
      <c r="E63" s="101">
        <f>SUM(E64)</f>
        <v>0</v>
      </c>
      <c r="F63" s="102" t="e">
        <f t="shared" si="1"/>
        <v>#DIV/0!</v>
      </c>
      <c r="G63" s="65" t="e">
        <f t="shared" si="2"/>
        <v>#DIV/0!</v>
      </c>
    </row>
    <row r="64" spans="1:7" ht="15" x14ac:dyDescent="0.2">
      <c r="A64" s="62">
        <v>412</v>
      </c>
      <c r="B64" s="100" t="s">
        <v>170</v>
      </c>
      <c r="C64" s="101">
        <f>C65</f>
        <v>0</v>
      </c>
      <c r="D64" s="101"/>
      <c r="E64" s="101">
        <f>E65</f>
        <v>0</v>
      </c>
      <c r="F64" s="102" t="e">
        <f t="shared" si="1"/>
        <v>#DIV/0!</v>
      </c>
      <c r="G64" s="65"/>
    </row>
    <row r="65" spans="1:7" ht="14.25" x14ac:dyDescent="0.2">
      <c r="A65" s="70">
        <v>4121</v>
      </c>
      <c r="B65" s="105" t="s">
        <v>170</v>
      </c>
      <c r="C65" s="103">
        <v>0</v>
      </c>
      <c r="D65" s="103"/>
      <c r="E65" s="103">
        <v>0</v>
      </c>
      <c r="F65" s="104" t="e">
        <f t="shared" si="1"/>
        <v>#DIV/0!</v>
      </c>
      <c r="G65" s="69"/>
    </row>
    <row r="66" spans="1:7" ht="30" x14ac:dyDescent="0.2">
      <c r="A66" s="62">
        <v>42</v>
      </c>
      <c r="B66" s="100" t="s">
        <v>171</v>
      </c>
      <c r="C66" s="101">
        <f>C67+C77+C75</f>
        <v>8480.684849691419</v>
      </c>
      <c r="D66" s="101">
        <v>23988.79</v>
      </c>
      <c r="E66" s="101">
        <f>E67+E77+E75</f>
        <v>29877.050000000003</v>
      </c>
      <c r="F66" s="102">
        <f t="shared" si="1"/>
        <v>352.29525126248637</v>
      </c>
      <c r="G66" s="65">
        <f t="shared" si="2"/>
        <v>124.54588163888216</v>
      </c>
    </row>
    <row r="67" spans="1:7" ht="15" x14ac:dyDescent="0.2">
      <c r="A67" s="62">
        <v>422</v>
      </c>
      <c r="B67" s="100" t="s">
        <v>172</v>
      </c>
      <c r="C67" s="101">
        <f>SUM(C68:C74)</f>
        <v>4041.8501559492997</v>
      </c>
      <c r="D67" s="101"/>
      <c r="E67" s="101">
        <f>SUM(E68:E74)</f>
        <v>27096.980000000003</v>
      </c>
      <c r="F67" s="102">
        <f t="shared" si="1"/>
        <v>670.41030603559818</v>
      </c>
      <c r="G67" s="65"/>
    </row>
    <row r="68" spans="1:7" ht="14.25" x14ac:dyDescent="0.2">
      <c r="A68" s="70" t="s">
        <v>173</v>
      </c>
      <c r="B68" s="105" t="s">
        <v>174</v>
      </c>
      <c r="C68" s="103">
        <f>6288.96/7.5345</f>
        <v>834.68843320724659</v>
      </c>
      <c r="D68" s="103"/>
      <c r="E68" s="103">
        <v>15988.25</v>
      </c>
      <c r="F68" s="104">
        <f t="shared" ref="F68:F82" si="3">E68/C68*100</f>
        <v>1915.4752077450009</v>
      </c>
      <c r="G68" s="73"/>
    </row>
    <row r="69" spans="1:7" ht="14.25" x14ac:dyDescent="0.2">
      <c r="A69" s="70">
        <v>4222</v>
      </c>
      <c r="B69" s="105" t="s">
        <v>175</v>
      </c>
      <c r="C69" s="103">
        <f>3801.88/7.5345</f>
        <v>504.5961908553985</v>
      </c>
      <c r="D69" s="103"/>
      <c r="E69" s="103">
        <v>0</v>
      </c>
      <c r="F69" s="104">
        <f t="shared" si="3"/>
        <v>0</v>
      </c>
      <c r="G69" s="73"/>
    </row>
    <row r="70" spans="1:7" ht="14.25" x14ac:dyDescent="0.2">
      <c r="A70" s="70">
        <v>4223</v>
      </c>
      <c r="B70" s="105" t="s">
        <v>176</v>
      </c>
      <c r="C70" s="103">
        <f>18026.4/7.5345</f>
        <v>2392.514433605415</v>
      </c>
      <c r="D70" s="103"/>
      <c r="E70" s="103">
        <v>5688.02</v>
      </c>
      <c r="F70" s="104">
        <f t="shared" si="3"/>
        <v>237.74234838902944</v>
      </c>
      <c r="G70" s="73"/>
    </row>
    <row r="71" spans="1:7" ht="28.5" x14ac:dyDescent="0.2">
      <c r="A71" s="70">
        <v>4224</v>
      </c>
      <c r="B71" s="105" t="s">
        <v>177</v>
      </c>
      <c r="C71" s="103">
        <v>0</v>
      </c>
      <c r="D71" s="103"/>
      <c r="E71" s="103">
        <v>0</v>
      </c>
      <c r="F71" s="104" t="e">
        <f t="shared" si="3"/>
        <v>#DIV/0!</v>
      </c>
      <c r="G71" s="73"/>
    </row>
    <row r="72" spans="1:7" ht="14.25" x14ac:dyDescent="0.2">
      <c r="A72" s="70">
        <v>4225</v>
      </c>
      <c r="B72" s="105" t="s">
        <v>178</v>
      </c>
      <c r="C72" s="103">
        <f>849/7.5345</f>
        <v>112.68166434401752</v>
      </c>
      <c r="D72" s="103"/>
      <c r="E72" s="103">
        <v>5154.6000000000004</v>
      </c>
      <c r="F72" s="104">
        <f t="shared" si="3"/>
        <v>4574.4798233215552</v>
      </c>
      <c r="G72" s="73"/>
    </row>
    <row r="73" spans="1:7" ht="14.25" x14ac:dyDescent="0.2">
      <c r="A73" s="70">
        <v>4226</v>
      </c>
      <c r="B73" s="105" t="s">
        <v>179</v>
      </c>
      <c r="C73" s="103">
        <f>1487.08/7.5345</f>
        <v>197.36943393722208</v>
      </c>
      <c r="D73" s="103"/>
      <c r="E73" s="103">
        <v>266.11</v>
      </c>
      <c r="F73" s="104">
        <f t="shared" si="3"/>
        <v>134.8283747343788</v>
      </c>
      <c r="G73" s="73"/>
    </row>
    <row r="74" spans="1:7" ht="28.5" x14ac:dyDescent="0.2">
      <c r="A74" s="70">
        <v>4227</v>
      </c>
      <c r="B74" s="105" t="s">
        <v>180</v>
      </c>
      <c r="C74" s="103">
        <v>0</v>
      </c>
      <c r="D74" s="103"/>
      <c r="E74" s="103">
        <v>0</v>
      </c>
      <c r="F74" s="104" t="e">
        <f t="shared" si="3"/>
        <v>#DIV/0!</v>
      </c>
      <c r="G74" s="73"/>
    </row>
    <row r="75" spans="1:7" ht="15" x14ac:dyDescent="0.2">
      <c r="A75" s="62">
        <v>423</v>
      </c>
      <c r="B75" s="100" t="s">
        <v>181</v>
      </c>
      <c r="C75" s="101">
        <f>C76</f>
        <v>0</v>
      </c>
      <c r="D75" s="101"/>
      <c r="E75" s="101">
        <f>E76</f>
        <v>0</v>
      </c>
      <c r="F75" s="102" t="e">
        <f t="shared" si="3"/>
        <v>#DIV/0!</v>
      </c>
      <c r="G75" s="65"/>
    </row>
    <row r="76" spans="1:7" ht="28.5" x14ac:dyDescent="0.2">
      <c r="A76" s="70">
        <v>4231</v>
      </c>
      <c r="B76" s="105" t="s">
        <v>182</v>
      </c>
      <c r="C76" s="103"/>
      <c r="D76" s="103"/>
      <c r="E76" s="103">
        <v>0</v>
      </c>
      <c r="F76" s="104" t="e">
        <f t="shared" si="3"/>
        <v>#DIV/0!</v>
      </c>
      <c r="G76" s="73"/>
    </row>
    <row r="77" spans="1:7" ht="30" x14ac:dyDescent="0.2">
      <c r="A77" s="62">
        <v>424</v>
      </c>
      <c r="B77" s="100" t="s">
        <v>183</v>
      </c>
      <c r="C77" s="101">
        <f>C78</f>
        <v>4438.8346937421193</v>
      </c>
      <c r="D77" s="101"/>
      <c r="E77" s="101">
        <f>E78</f>
        <v>2780.07</v>
      </c>
      <c r="F77" s="102">
        <f t="shared" si="3"/>
        <v>62.630626995849838</v>
      </c>
      <c r="G77" s="65"/>
    </row>
    <row r="78" spans="1:7" ht="14.25" x14ac:dyDescent="0.2">
      <c r="A78" s="70">
        <v>4241</v>
      </c>
      <c r="B78" s="105" t="s">
        <v>184</v>
      </c>
      <c r="C78" s="107">
        <f>33444.4/7.5345</f>
        <v>4438.8346937421193</v>
      </c>
      <c r="D78" s="103"/>
      <c r="E78" s="103">
        <v>2780.07</v>
      </c>
      <c r="F78" s="104">
        <f t="shared" si="3"/>
        <v>62.630626995849838</v>
      </c>
      <c r="G78" s="69"/>
    </row>
    <row r="79" spans="1:7" ht="30" x14ac:dyDescent="0.2">
      <c r="A79" s="199">
        <v>45</v>
      </c>
      <c r="B79" s="200" t="s">
        <v>185</v>
      </c>
      <c r="C79" s="201">
        <f>C80</f>
        <v>39393.058597119911</v>
      </c>
      <c r="D79" s="101">
        <v>63649.99</v>
      </c>
      <c r="E79" s="101">
        <f>E80</f>
        <v>88420.63</v>
      </c>
      <c r="F79" s="102">
        <f t="shared" si="3"/>
        <v>224.45738703433545</v>
      </c>
      <c r="G79" s="65">
        <f t="shared" ref="G79" si="4">E79/D79*100</f>
        <v>138.91695819590862</v>
      </c>
    </row>
    <row r="80" spans="1:7" ht="30" x14ac:dyDescent="0.2">
      <c r="A80" s="199">
        <v>451</v>
      </c>
      <c r="B80" s="200" t="s">
        <v>186</v>
      </c>
      <c r="C80" s="201">
        <f>C81</f>
        <v>39393.058597119911</v>
      </c>
      <c r="D80" s="101"/>
      <c r="E80" s="101">
        <f>E81</f>
        <v>88420.63</v>
      </c>
      <c r="F80" s="102">
        <f t="shared" si="3"/>
        <v>224.45738703433545</v>
      </c>
      <c r="G80" s="65"/>
    </row>
    <row r="81" spans="1:7" ht="28.5" x14ac:dyDescent="0.2">
      <c r="A81" s="197">
        <v>4511</v>
      </c>
      <c r="B81" s="198" t="s">
        <v>186</v>
      </c>
      <c r="C81" s="107">
        <f>296807/7.5345</f>
        <v>39393.058597119911</v>
      </c>
      <c r="D81" s="103"/>
      <c r="E81" s="103">
        <v>88420.63</v>
      </c>
      <c r="F81" s="104">
        <f t="shared" si="3"/>
        <v>224.45738703433545</v>
      </c>
      <c r="G81" s="69"/>
    </row>
    <row r="82" spans="1:7" ht="25.5" customHeight="1" x14ac:dyDescent="0.2">
      <c r="A82" s="108" t="s">
        <v>22</v>
      </c>
      <c r="B82" s="109"/>
      <c r="C82" s="98">
        <f>SUM(C62,C4)</f>
        <v>2423940.5919437255</v>
      </c>
      <c r="D82" s="98">
        <f>SUM(D62,D4)</f>
        <v>2824285.1100000003</v>
      </c>
      <c r="E82" s="98">
        <f>SUM(E62,E4)</f>
        <v>2834406.27</v>
      </c>
      <c r="F82" s="99">
        <f t="shared" si="3"/>
        <v>116.9338175787191</v>
      </c>
      <c r="G82" s="61">
        <f>E82/D82*100</f>
        <v>100.35836183691809</v>
      </c>
    </row>
    <row r="83" spans="1:7" ht="12.75" customHeight="1" x14ac:dyDescent="0.2">
      <c r="A83" s="110"/>
      <c r="B83" s="111"/>
      <c r="C83" s="112"/>
      <c r="D83" s="112"/>
      <c r="E83" s="112"/>
      <c r="F83" s="113"/>
      <c r="G83" s="114"/>
    </row>
    <row r="84" spans="1:7" ht="19.5" customHeight="1" x14ac:dyDescent="0.2">
      <c r="A84" s="254" t="s">
        <v>187</v>
      </c>
      <c r="B84" s="254"/>
      <c r="C84" s="254"/>
      <c r="D84" s="254"/>
      <c r="E84" s="254"/>
      <c r="F84" s="254"/>
      <c r="G84" s="254"/>
    </row>
    <row r="85" spans="1:7" s="25" customFormat="1" ht="39" customHeight="1" x14ac:dyDescent="0.2">
      <c r="A85" s="89" t="s">
        <v>88</v>
      </c>
      <c r="B85" s="51" t="s">
        <v>89</v>
      </c>
      <c r="C85" s="52" t="s">
        <v>10</v>
      </c>
      <c r="D85" s="52" t="s">
        <v>11</v>
      </c>
      <c r="E85" s="52" t="s">
        <v>12</v>
      </c>
      <c r="F85" s="53" t="s">
        <v>13</v>
      </c>
      <c r="G85" s="54" t="s">
        <v>14</v>
      </c>
    </row>
    <row r="86" spans="1:7" s="40" customFormat="1" ht="13.5" customHeight="1" x14ac:dyDescent="0.2">
      <c r="A86" s="257">
        <v>1</v>
      </c>
      <c r="B86" s="257"/>
      <c r="C86" s="95">
        <v>2</v>
      </c>
      <c r="D86" s="96">
        <v>4</v>
      </c>
      <c r="E86" s="96">
        <v>5</v>
      </c>
      <c r="F86" s="96" t="s">
        <v>99</v>
      </c>
      <c r="G86" s="56" t="s">
        <v>100</v>
      </c>
    </row>
    <row r="87" spans="1:7" ht="19.5" customHeight="1" x14ac:dyDescent="0.2">
      <c r="A87" s="90">
        <v>1</v>
      </c>
      <c r="B87" s="90" t="s">
        <v>90</v>
      </c>
      <c r="C87" s="91">
        <f>2249783.02/7.5345</f>
        <v>298597.52073793882</v>
      </c>
      <c r="D87" s="91">
        <v>585144.11</v>
      </c>
      <c r="E87" s="91">
        <v>587211.05000000005</v>
      </c>
      <c r="F87" s="69">
        <f t="shared" ref="F87:F93" si="5">E87/C87*100</f>
        <v>196.65637160978309</v>
      </c>
      <c r="G87" s="69">
        <f t="shared" ref="G87:G93" si="6">E87/D87*100</f>
        <v>100.35323606008784</v>
      </c>
    </row>
    <row r="88" spans="1:7" ht="19.5" customHeight="1" x14ac:dyDescent="0.2">
      <c r="A88" s="90">
        <v>3</v>
      </c>
      <c r="B88" s="90" t="s">
        <v>91</v>
      </c>
      <c r="C88" s="91">
        <f>122288.46/7.5345-1798.4</f>
        <v>14432.067847899662</v>
      </c>
      <c r="D88" s="91">
        <v>14970.11</v>
      </c>
      <c r="E88" s="91">
        <v>13134.63</v>
      </c>
      <c r="F88" s="69">
        <f t="shared" si="5"/>
        <v>91.010035002790801</v>
      </c>
      <c r="G88" s="69">
        <f t="shared" si="6"/>
        <v>87.739034649711982</v>
      </c>
    </row>
    <row r="89" spans="1:7" ht="19.5" customHeight="1" x14ac:dyDescent="0.2">
      <c r="A89" s="90">
        <v>4</v>
      </c>
      <c r="B89" s="90" t="s">
        <v>92</v>
      </c>
      <c r="C89" s="91">
        <f>3101113.88/7.5345</f>
        <v>411588.5433671776</v>
      </c>
      <c r="D89" s="91">
        <v>171481.08</v>
      </c>
      <c r="E89" s="91">
        <v>161101.63</v>
      </c>
      <c r="F89" s="69">
        <f t="shared" si="5"/>
        <v>39.141427184060724</v>
      </c>
      <c r="G89" s="69">
        <f t="shared" si="6"/>
        <v>93.947174813687909</v>
      </c>
    </row>
    <row r="90" spans="1:7" ht="19.5" customHeight="1" x14ac:dyDescent="0.2">
      <c r="A90" s="90">
        <v>5</v>
      </c>
      <c r="B90" s="90" t="s">
        <v>93</v>
      </c>
      <c r="C90" s="91">
        <f>12770922.03/7.5345</f>
        <v>1694992.6378658169</v>
      </c>
      <c r="D90" s="91">
        <v>2039100.91</v>
      </c>
      <c r="E90" s="91">
        <v>2053788.59</v>
      </c>
      <c r="F90" s="69">
        <f t="shared" si="5"/>
        <v>121.167994722735</v>
      </c>
      <c r="G90" s="69">
        <f t="shared" si="6"/>
        <v>100.7203017726082</v>
      </c>
    </row>
    <row r="91" spans="1:7" ht="19.5" customHeight="1" x14ac:dyDescent="0.2">
      <c r="A91" s="90">
        <v>6</v>
      </c>
      <c r="B91" s="90" t="s">
        <v>94</v>
      </c>
      <c r="C91" s="91">
        <f>19073/7.5345</f>
        <v>2531.4221248921626</v>
      </c>
      <c r="D91" s="91">
        <v>875.33</v>
      </c>
      <c r="E91" s="91">
        <v>13254.63</v>
      </c>
      <c r="F91" s="69">
        <f t="shared" si="5"/>
        <v>523.60409864730241</v>
      </c>
      <c r="G91" s="69">
        <f>E91/D91*100</f>
        <v>1514.2437709206811</v>
      </c>
    </row>
    <row r="92" spans="1:7" ht="19.5" customHeight="1" x14ac:dyDescent="0.2">
      <c r="A92" s="90">
        <v>7</v>
      </c>
      <c r="B92" s="90" t="s">
        <v>95</v>
      </c>
      <c r="C92" s="91">
        <v>1798.4</v>
      </c>
      <c r="D92" s="91">
        <v>12713.57</v>
      </c>
      <c r="E92" s="91">
        <v>5915.74</v>
      </c>
      <c r="F92" s="69">
        <f t="shared" si="5"/>
        <v>328.9446174377224</v>
      </c>
      <c r="G92" s="69">
        <f>E92/D92*100</f>
        <v>46.530911459173154</v>
      </c>
    </row>
    <row r="93" spans="1:7" ht="19.149999999999999" customHeight="1" x14ac:dyDescent="0.2">
      <c r="A93" s="92"/>
      <c r="B93" s="93" t="s">
        <v>96</v>
      </c>
      <c r="C93" s="115">
        <f>SUM(C87:C92)</f>
        <v>2423940.591943725</v>
      </c>
      <c r="D93" s="115">
        <f>SUM(D87:D92)</f>
        <v>2824285.11</v>
      </c>
      <c r="E93" s="115">
        <f>SUM(E87:E92)</f>
        <v>2834406.2700000005</v>
      </c>
      <c r="F93" s="94">
        <f t="shared" si="5"/>
        <v>116.93381757871914</v>
      </c>
      <c r="G93" s="94">
        <f t="shared" si="6"/>
        <v>100.35836183691811</v>
      </c>
    </row>
  </sheetData>
  <mergeCells count="4">
    <mergeCell ref="A86:B86"/>
    <mergeCell ref="A1:G1"/>
    <mergeCell ref="A3:B3"/>
    <mergeCell ref="A84:G84"/>
  </mergeCells>
  <pageMargins left="0.70866141732283472" right="0.70866141732283472" top="0.74803149606299213" bottom="0.74803149606299213" header="0.31496062992125984" footer="0.31496062992125984"/>
  <pageSetup paperSize="9" scale="60" fitToHeight="4" orientation="portrait" r:id="rId1"/>
  <headerFooter alignWithMargins="0">
    <oddHeader>&amp;LOsnovna škola "Vazmoslav Gržalja"&amp;RIzvještaj o izvršenju Financijskog plana za razdoblje od 01.01. do 30.06.2023.g.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F996-024F-4724-A212-9ABEE27C4880}">
  <sheetPr>
    <pageSetUpPr fitToPage="1"/>
  </sheetPr>
  <dimension ref="A1:F9"/>
  <sheetViews>
    <sheetView workbookViewId="0">
      <selection activeCell="A2" sqref="A2:F2"/>
    </sheetView>
  </sheetViews>
  <sheetFormatPr defaultRowHeight="12.75" x14ac:dyDescent="0.2"/>
  <cols>
    <col min="1" max="1" width="36" customWidth="1"/>
    <col min="2" max="4" width="18.7109375" customWidth="1"/>
    <col min="5" max="6" width="12.7109375" customWidth="1"/>
  </cols>
  <sheetData>
    <row r="1" spans="1:6" ht="18" x14ac:dyDescent="0.2">
      <c r="A1" s="216"/>
      <c r="B1" s="216"/>
      <c r="C1" s="216"/>
      <c r="D1" s="216"/>
      <c r="E1" s="217"/>
      <c r="F1" s="217"/>
    </row>
    <row r="2" spans="1:6" ht="15.75" x14ac:dyDescent="0.2">
      <c r="A2" s="261" t="s">
        <v>188</v>
      </c>
      <c r="B2" s="261"/>
      <c r="C2" s="261"/>
      <c r="D2" s="261"/>
      <c r="E2" s="261"/>
      <c r="F2" s="261"/>
    </row>
    <row r="3" spans="1:6" ht="18" x14ac:dyDescent="0.2">
      <c r="A3" s="218"/>
      <c r="B3" s="218"/>
      <c r="C3" s="218"/>
      <c r="D3" s="218"/>
      <c r="E3" s="219"/>
      <c r="F3" s="219"/>
    </row>
    <row r="4" spans="1:6" ht="30" x14ac:dyDescent="0.2">
      <c r="A4" s="221" t="s">
        <v>189</v>
      </c>
      <c r="B4" s="52" t="s">
        <v>10</v>
      </c>
      <c r="C4" s="52" t="s">
        <v>11</v>
      </c>
      <c r="D4" s="52" t="s">
        <v>12</v>
      </c>
      <c r="E4" s="53" t="s">
        <v>13</v>
      </c>
      <c r="F4" s="54" t="s">
        <v>14</v>
      </c>
    </row>
    <row r="5" spans="1:6" x14ac:dyDescent="0.2">
      <c r="A5" s="222">
        <v>1</v>
      </c>
      <c r="B5" s="222">
        <v>2</v>
      </c>
      <c r="C5" s="222">
        <v>3</v>
      </c>
      <c r="D5" s="222">
        <v>4</v>
      </c>
      <c r="E5" s="222" t="s">
        <v>15</v>
      </c>
      <c r="F5" s="222" t="s">
        <v>99</v>
      </c>
    </row>
    <row r="6" spans="1:6" ht="15.6" customHeight="1" x14ac:dyDescent="0.25">
      <c r="A6" s="220" t="s">
        <v>22</v>
      </c>
      <c r="B6" s="227">
        <f t="shared" ref="B6:D8" si="0">B7</f>
        <v>2423940.59</v>
      </c>
      <c r="C6" s="227">
        <f t="shared" si="0"/>
        <v>2824285.11</v>
      </c>
      <c r="D6" s="227">
        <f t="shared" si="0"/>
        <v>2834406.27</v>
      </c>
      <c r="E6" s="228">
        <f>D6/B6*100</f>
        <v>116.93381767248678</v>
      </c>
      <c r="F6" s="224">
        <f>D6/C6*100</f>
        <v>100.35836183691809</v>
      </c>
    </row>
    <row r="7" spans="1:6" ht="15.6" customHeight="1" x14ac:dyDescent="0.2">
      <c r="A7" s="223" t="s">
        <v>190</v>
      </c>
      <c r="B7" s="225">
        <f t="shared" si="0"/>
        <v>2423940.59</v>
      </c>
      <c r="C7" s="225">
        <f t="shared" si="0"/>
        <v>2824285.11</v>
      </c>
      <c r="D7" s="225">
        <f t="shared" si="0"/>
        <v>2834406.27</v>
      </c>
      <c r="E7" s="225">
        <f t="shared" ref="E7:E9" si="1">D7/B7*100</f>
        <v>116.93381767248678</v>
      </c>
      <c r="F7" s="225">
        <f t="shared" ref="F7:F9" si="2">D7/C7*100</f>
        <v>100.35836183691809</v>
      </c>
    </row>
    <row r="8" spans="1:6" ht="15.6" customHeight="1" x14ac:dyDescent="0.2">
      <c r="A8" s="223" t="s">
        <v>191</v>
      </c>
      <c r="B8" s="225">
        <f t="shared" si="0"/>
        <v>2423940.59</v>
      </c>
      <c r="C8" s="225">
        <f t="shared" si="0"/>
        <v>2824285.11</v>
      </c>
      <c r="D8" s="225">
        <f t="shared" si="0"/>
        <v>2834406.27</v>
      </c>
      <c r="E8" s="225">
        <f t="shared" si="1"/>
        <v>116.93381767248678</v>
      </c>
      <c r="F8" s="225">
        <f t="shared" si="2"/>
        <v>100.35836183691809</v>
      </c>
    </row>
    <row r="9" spans="1:6" ht="15.6" customHeight="1" x14ac:dyDescent="0.2">
      <c r="A9" s="223" t="s">
        <v>192</v>
      </c>
      <c r="B9" s="225">
        <v>2423940.59</v>
      </c>
      <c r="C9" s="226">
        <v>2824285.11</v>
      </c>
      <c r="D9" s="226">
        <v>2834406.27</v>
      </c>
      <c r="E9" s="225">
        <f t="shared" si="1"/>
        <v>116.93381767248678</v>
      </c>
      <c r="F9" s="225">
        <f t="shared" si="2"/>
        <v>100.35836183691809</v>
      </c>
    </row>
  </sheetData>
  <mergeCells count="1">
    <mergeCell ref="A2:F2"/>
  </mergeCells>
  <pageMargins left="0.7" right="0.7" top="0.75" bottom="0.75" header="0.3" footer="0.3"/>
  <pageSetup paperSize="9" scale="7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7632F-3B9B-4A05-8497-767961C79A40}">
  <sheetPr>
    <pageSetUpPr fitToPage="1"/>
  </sheetPr>
  <dimension ref="A1:N565"/>
  <sheetViews>
    <sheetView topLeftCell="A532" workbookViewId="0">
      <selection activeCell="L557" sqref="L557"/>
    </sheetView>
  </sheetViews>
  <sheetFormatPr defaultRowHeight="12.75" x14ac:dyDescent="0.2"/>
  <cols>
    <col min="3" max="3" width="33.42578125" customWidth="1"/>
    <col min="5" max="6" width="14.28515625" customWidth="1"/>
    <col min="7" max="7" width="11.140625" customWidth="1"/>
    <col min="258" max="258" width="33.42578125" customWidth="1"/>
    <col min="260" max="262" width="11.7109375" customWidth="1"/>
    <col min="263" max="263" width="13.28515625" customWidth="1"/>
    <col min="514" max="514" width="33.42578125" customWidth="1"/>
    <col min="516" max="518" width="11.7109375" customWidth="1"/>
    <col min="519" max="519" width="13.28515625" customWidth="1"/>
    <col min="770" max="770" width="33.42578125" customWidth="1"/>
    <col min="772" max="774" width="11.7109375" customWidth="1"/>
    <col min="775" max="775" width="13.28515625" customWidth="1"/>
    <col min="1026" max="1026" width="33.42578125" customWidth="1"/>
    <col min="1028" max="1030" width="11.7109375" customWidth="1"/>
    <col min="1031" max="1031" width="13.28515625" customWidth="1"/>
    <col min="1282" max="1282" width="33.42578125" customWidth="1"/>
    <col min="1284" max="1286" width="11.7109375" customWidth="1"/>
    <col min="1287" max="1287" width="13.28515625" customWidth="1"/>
    <col min="1538" max="1538" width="33.42578125" customWidth="1"/>
    <col min="1540" max="1542" width="11.7109375" customWidth="1"/>
    <col min="1543" max="1543" width="13.28515625" customWidth="1"/>
    <col min="1794" max="1794" width="33.42578125" customWidth="1"/>
    <col min="1796" max="1798" width="11.7109375" customWidth="1"/>
    <col min="1799" max="1799" width="13.28515625" customWidth="1"/>
    <col min="2050" max="2050" width="33.42578125" customWidth="1"/>
    <col min="2052" max="2054" width="11.7109375" customWidth="1"/>
    <col min="2055" max="2055" width="13.28515625" customWidth="1"/>
    <col min="2306" max="2306" width="33.42578125" customWidth="1"/>
    <col min="2308" max="2310" width="11.7109375" customWidth="1"/>
    <col min="2311" max="2311" width="13.28515625" customWidth="1"/>
    <col min="2562" max="2562" width="33.42578125" customWidth="1"/>
    <col min="2564" max="2566" width="11.7109375" customWidth="1"/>
    <col min="2567" max="2567" width="13.28515625" customWidth="1"/>
    <col min="2818" max="2818" width="33.42578125" customWidth="1"/>
    <col min="2820" max="2822" width="11.7109375" customWidth="1"/>
    <col min="2823" max="2823" width="13.28515625" customWidth="1"/>
    <col min="3074" max="3074" width="33.42578125" customWidth="1"/>
    <col min="3076" max="3078" width="11.7109375" customWidth="1"/>
    <col min="3079" max="3079" width="13.28515625" customWidth="1"/>
    <col min="3330" max="3330" width="33.42578125" customWidth="1"/>
    <col min="3332" max="3334" width="11.7109375" customWidth="1"/>
    <col min="3335" max="3335" width="13.28515625" customWidth="1"/>
    <col min="3586" max="3586" width="33.42578125" customWidth="1"/>
    <col min="3588" max="3590" width="11.7109375" customWidth="1"/>
    <col min="3591" max="3591" width="13.28515625" customWidth="1"/>
    <col min="3842" max="3842" width="33.42578125" customWidth="1"/>
    <col min="3844" max="3846" width="11.7109375" customWidth="1"/>
    <col min="3847" max="3847" width="13.28515625" customWidth="1"/>
    <col min="4098" max="4098" width="33.42578125" customWidth="1"/>
    <col min="4100" max="4102" width="11.7109375" customWidth="1"/>
    <col min="4103" max="4103" width="13.28515625" customWidth="1"/>
    <col min="4354" max="4354" width="33.42578125" customWidth="1"/>
    <col min="4356" max="4358" width="11.7109375" customWidth="1"/>
    <col min="4359" max="4359" width="13.28515625" customWidth="1"/>
    <col min="4610" max="4610" width="33.42578125" customWidth="1"/>
    <col min="4612" max="4614" width="11.7109375" customWidth="1"/>
    <col min="4615" max="4615" width="13.28515625" customWidth="1"/>
    <col min="4866" max="4866" width="33.42578125" customWidth="1"/>
    <col min="4868" max="4870" width="11.7109375" customWidth="1"/>
    <col min="4871" max="4871" width="13.28515625" customWidth="1"/>
    <col min="5122" max="5122" width="33.42578125" customWidth="1"/>
    <col min="5124" max="5126" width="11.7109375" customWidth="1"/>
    <col min="5127" max="5127" width="13.28515625" customWidth="1"/>
    <col min="5378" max="5378" width="33.42578125" customWidth="1"/>
    <col min="5380" max="5382" width="11.7109375" customWidth="1"/>
    <col min="5383" max="5383" width="13.28515625" customWidth="1"/>
    <col min="5634" max="5634" width="33.42578125" customWidth="1"/>
    <col min="5636" max="5638" width="11.7109375" customWidth="1"/>
    <col min="5639" max="5639" width="13.28515625" customWidth="1"/>
    <col min="5890" max="5890" width="33.42578125" customWidth="1"/>
    <col min="5892" max="5894" width="11.7109375" customWidth="1"/>
    <col min="5895" max="5895" width="13.28515625" customWidth="1"/>
    <col min="6146" max="6146" width="33.42578125" customWidth="1"/>
    <col min="6148" max="6150" width="11.7109375" customWidth="1"/>
    <col min="6151" max="6151" width="13.28515625" customWidth="1"/>
    <col min="6402" max="6402" width="33.42578125" customWidth="1"/>
    <col min="6404" max="6406" width="11.7109375" customWidth="1"/>
    <col min="6407" max="6407" width="13.28515625" customWidth="1"/>
    <col min="6658" max="6658" width="33.42578125" customWidth="1"/>
    <col min="6660" max="6662" width="11.7109375" customWidth="1"/>
    <col min="6663" max="6663" width="13.28515625" customWidth="1"/>
    <col min="6914" max="6914" width="33.42578125" customWidth="1"/>
    <col min="6916" max="6918" width="11.7109375" customWidth="1"/>
    <col min="6919" max="6919" width="13.28515625" customWidth="1"/>
    <col min="7170" max="7170" width="33.42578125" customWidth="1"/>
    <col min="7172" max="7174" width="11.7109375" customWidth="1"/>
    <col min="7175" max="7175" width="13.28515625" customWidth="1"/>
    <col min="7426" max="7426" width="33.42578125" customWidth="1"/>
    <col min="7428" max="7430" width="11.7109375" customWidth="1"/>
    <col min="7431" max="7431" width="13.28515625" customWidth="1"/>
    <col min="7682" max="7682" width="33.42578125" customWidth="1"/>
    <col min="7684" max="7686" width="11.7109375" customWidth="1"/>
    <col min="7687" max="7687" width="13.28515625" customWidth="1"/>
    <col min="7938" max="7938" width="33.42578125" customWidth="1"/>
    <col min="7940" max="7942" width="11.7109375" customWidth="1"/>
    <col min="7943" max="7943" width="13.28515625" customWidth="1"/>
    <col min="8194" max="8194" width="33.42578125" customWidth="1"/>
    <col min="8196" max="8198" width="11.7109375" customWidth="1"/>
    <col min="8199" max="8199" width="13.28515625" customWidth="1"/>
    <col min="8450" max="8450" width="33.42578125" customWidth="1"/>
    <col min="8452" max="8454" width="11.7109375" customWidth="1"/>
    <col min="8455" max="8455" width="13.28515625" customWidth="1"/>
    <col min="8706" max="8706" width="33.42578125" customWidth="1"/>
    <col min="8708" max="8710" width="11.7109375" customWidth="1"/>
    <col min="8711" max="8711" width="13.28515625" customWidth="1"/>
    <col min="8962" max="8962" width="33.42578125" customWidth="1"/>
    <col min="8964" max="8966" width="11.7109375" customWidth="1"/>
    <col min="8967" max="8967" width="13.28515625" customWidth="1"/>
    <col min="9218" max="9218" width="33.42578125" customWidth="1"/>
    <col min="9220" max="9222" width="11.7109375" customWidth="1"/>
    <col min="9223" max="9223" width="13.28515625" customWidth="1"/>
    <col min="9474" max="9474" width="33.42578125" customWidth="1"/>
    <col min="9476" max="9478" width="11.7109375" customWidth="1"/>
    <col min="9479" max="9479" width="13.28515625" customWidth="1"/>
    <col min="9730" max="9730" width="33.42578125" customWidth="1"/>
    <col min="9732" max="9734" width="11.7109375" customWidth="1"/>
    <col min="9735" max="9735" width="13.28515625" customWidth="1"/>
    <col min="9986" max="9986" width="33.42578125" customWidth="1"/>
    <col min="9988" max="9990" width="11.7109375" customWidth="1"/>
    <col min="9991" max="9991" width="13.28515625" customWidth="1"/>
    <col min="10242" max="10242" width="33.42578125" customWidth="1"/>
    <col min="10244" max="10246" width="11.7109375" customWidth="1"/>
    <col min="10247" max="10247" width="13.28515625" customWidth="1"/>
    <col min="10498" max="10498" width="33.42578125" customWidth="1"/>
    <col min="10500" max="10502" width="11.7109375" customWidth="1"/>
    <col min="10503" max="10503" width="13.28515625" customWidth="1"/>
    <col min="10754" max="10754" width="33.42578125" customWidth="1"/>
    <col min="10756" max="10758" width="11.7109375" customWidth="1"/>
    <col min="10759" max="10759" width="13.28515625" customWidth="1"/>
    <col min="11010" max="11010" width="33.42578125" customWidth="1"/>
    <col min="11012" max="11014" width="11.7109375" customWidth="1"/>
    <col min="11015" max="11015" width="13.28515625" customWidth="1"/>
    <col min="11266" max="11266" width="33.42578125" customWidth="1"/>
    <col min="11268" max="11270" width="11.7109375" customWidth="1"/>
    <col min="11271" max="11271" width="13.28515625" customWidth="1"/>
    <col min="11522" max="11522" width="33.42578125" customWidth="1"/>
    <col min="11524" max="11526" width="11.7109375" customWidth="1"/>
    <col min="11527" max="11527" width="13.28515625" customWidth="1"/>
    <col min="11778" max="11778" width="33.42578125" customWidth="1"/>
    <col min="11780" max="11782" width="11.7109375" customWidth="1"/>
    <col min="11783" max="11783" width="13.28515625" customWidth="1"/>
    <col min="12034" max="12034" width="33.42578125" customWidth="1"/>
    <col min="12036" max="12038" width="11.7109375" customWidth="1"/>
    <col min="12039" max="12039" width="13.28515625" customWidth="1"/>
    <col min="12290" max="12290" width="33.42578125" customWidth="1"/>
    <col min="12292" max="12294" width="11.7109375" customWidth="1"/>
    <col min="12295" max="12295" width="13.28515625" customWidth="1"/>
    <col min="12546" max="12546" width="33.42578125" customWidth="1"/>
    <col min="12548" max="12550" width="11.7109375" customWidth="1"/>
    <col min="12551" max="12551" width="13.28515625" customWidth="1"/>
    <col min="12802" max="12802" width="33.42578125" customWidth="1"/>
    <col min="12804" max="12806" width="11.7109375" customWidth="1"/>
    <col min="12807" max="12807" width="13.28515625" customWidth="1"/>
    <col min="13058" max="13058" width="33.42578125" customWidth="1"/>
    <col min="13060" max="13062" width="11.7109375" customWidth="1"/>
    <col min="13063" max="13063" width="13.28515625" customWidth="1"/>
    <col min="13314" max="13314" width="33.42578125" customWidth="1"/>
    <col min="13316" max="13318" width="11.7109375" customWidth="1"/>
    <col min="13319" max="13319" width="13.28515625" customWidth="1"/>
    <col min="13570" max="13570" width="33.42578125" customWidth="1"/>
    <col min="13572" max="13574" width="11.7109375" customWidth="1"/>
    <col min="13575" max="13575" width="13.28515625" customWidth="1"/>
    <col min="13826" max="13826" width="33.42578125" customWidth="1"/>
    <col min="13828" max="13830" width="11.7109375" customWidth="1"/>
    <col min="13831" max="13831" width="13.28515625" customWidth="1"/>
    <col min="14082" max="14082" width="33.42578125" customWidth="1"/>
    <col min="14084" max="14086" width="11.7109375" customWidth="1"/>
    <col min="14087" max="14087" width="13.28515625" customWidth="1"/>
    <col min="14338" max="14338" width="33.42578125" customWidth="1"/>
    <col min="14340" max="14342" width="11.7109375" customWidth="1"/>
    <col min="14343" max="14343" width="13.28515625" customWidth="1"/>
    <col min="14594" max="14594" width="33.42578125" customWidth="1"/>
    <col min="14596" max="14598" width="11.7109375" customWidth="1"/>
    <col min="14599" max="14599" width="13.28515625" customWidth="1"/>
    <col min="14850" max="14850" width="33.42578125" customWidth="1"/>
    <col min="14852" max="14854" width="11.7109375" customWidth="1"/>
    <col min="14855" max="14855" width="13.28515625" customWidth="1"/>
    <col min="15106" max="15106" width="33.42578125" customWidth="1"/>
    <col min="15108" max="15110" width="11.7109375" customWidth="1"/>
    <col min="15111" max="15111" width="13.28515625" customWidth="1"/>
    <col min="15362" max="15362" width="33.42578125" customWidth="1"/>
    <col min="15364" max="15366" width="11.7109375" customWidth="1"/>
    <col min="15367" max="15367" width="13.28515625" customWidth="1"/>
    <col min="15618" max="15618" width="33.42578125" customWidth="1"/>
    <col min="15620" max="15622" width="11.7109375" customWidth="1"/>
    <col min="15623" max="15623" width="13.28515625" customWidth="1"/>
    <col min="15874" max="15874" width="33.42578125" customWidth="1"/>
    <col min="15876" max="15878" width="11.7109375" customWidth="1"/>
    <col min="15879" max="15879" width="13.28515625" customWidth="1"/>
    <col min="16130" max="16130" width="33.42578125" customWidth="1"/>
    <col min="16132" max="16134" width="11.7109375" customWidth="1"/>
    <col min="16135" max="16135" width="13.28515625" customWidth="1"/>
  </cols>
  <sheetData>
    <row r="1" spans="1:10" ht="12.75" customHeight="1" x14ac:dyDescent="0.25">
      <c r="A1" s="245" t="s">
        <v>193</v>
      </c>
      <c r="B1" s="245"/>
      <c r="C1" s="245"/>
      <c r="D1" s="245"/>
      <c r="E1" s="245"/>
      <c r="F1" s="245"/>
      <c r="G1" s="245"/>
      <c r="H1" s="241"/>
      <c r="I1" s="241"/>
      <c r="J1" s="240"/>
    </row>
    <row r="3" spans="1:10" ht="41.25" customHeight="1" x14ac:dyDescent="0.2">
      <c r="A3" s="285" t="s">
        <v>194</v>
      </c>
      <c r="B3" s="285"/>
      <c r="C3" s="285"/>
      <c r="D3" s="285"/>
      <c r="E3" s="285"/>
      <c r="F3" s="285"/>
      <c r="G3" s="285"/>
    </row>
    <row r="5" spans="1:10" ht="51" x14ac:dyDescent="0.2">
      <c r="A5" s="117" t="s">
        <v>195</v>
      </c>
      <c r="B5" s="117" t="s">
        <v>196</v>
      </c>
      <c r="C5" s="117" t="s">
        <v>9</v>
      </c>
      <c r="D5" s="117" t="s">
        <v>197</v>
      </c>
      <c r="E5" s="117" t="s">
        <v>11</v>
      </c>
      <c r="F5" s="117" t="s">
        <v>12</v>
      </c>
      <c r="G5" s="117" t="s">
        <v>13</v>
      </c>
    </row>
    <row r="6" spans="1:10" x14ac:dyDescent="0.2">
      <c r="A6" s="118"/>
      <c r="B6" s="286">
        <v>1</v>
      </c>
      <c r="C6" s="286"/>
      <c r="D6" s="118">
        <v>2</v>
      </c>
      <c r="E6" s="118">
        <v>3</v>
      </c>
      <c r="F6" s="118">
        <v>4</v>
      </c>
      <c r="G6" s="118" t="s">
        <v>198</v>
      </c>
    </row>
    <row r="7" spans="1:10" ht="21.75" customHeight="1" x14ac:dyDescent="0.2">
      <c r="A7" s="119" t="s">
        <v>199</v>
      </c>
      <c r="B7" s="287" t="s">
        <v>200</v>
      </c>
      <c r="C7" s="288"/>
      <c r="D7" s="120"/>
      <c r="E7" s="121">
        <f>SUM(E8,E107,E123,E385,E409,E434,E447,E483,E502)</f>
        <v>2824285.11</v>
      </c>
      <c r="F7" s="121">
        <f>SUM(F8,F107,F123,F385,F409,F434,F447,F483,F502)</f>
        <v>2834406.27</v>
      </c>
      <c r="G7" s="122">
        <f>F7/E7*100</f>
        <v>100.35836183691809</v>
      </c>
    </row>
    <row r="8" spans="1:10" ht="21.75" customHeight="1" x14ac:dyDescent="0.2">
      <c r="A8" s="123" t="s">
        <v>201</v>
      </c>
      <c r="B8" s="272" t="s">
        <v>202</v>
      </c>
      <c r="C8" s="273"/>
      <c r="D8" s="124"/>
      <c r="E8" s="125">
        <f>SUM(E10,E44,E55,E85)</f>
        <v>1792277.96</v>
      </c>
      <c r="F8" s="125">
        <f>SUM(F10,F44,F55,F85)</f>
        <v>1792442.53</v>
      </c>
      <c r="G8" s="126">
        <f>F8/E8*100</f>
        <v>100.00918216948892</v>
      </c>
    </row>
    <row r="9" spans="1:10" ht="21.75" customHeight="1" x14ac:dyDescent="0.2">
      <c r="A9" s="127"/>
      <c r="B9" s="127"/>
      <c r="C9" s="128"/>
      <c r="D9" s="129"/>
      <c r="E9" s="130"/>
      <c r="F9" s="130"/>
      <c r="G9" s="132"/>
    </row>
    <row r="10" spans="1:10" ht="21.75" customHeight="1" x14ac:dyDescent="0.2">
      <c r="A10" s="133" t="s">
        <v>203</v>
      </c>
      <c r="B10" s="270" t="s">
        <v>204</v>
      </c>
      <c r="C10" s="271"/>
      <c r="D10" s="134"/>
      <c r="E10" s="135">
        <f>E11</f>
        <v>48220.44</v>
      </c>
      <c r="F10" s="135">
        <f>F11</f>
        <v>48220.44</v>
      </c>
      <c r="G10" s="136">
        <f t="shared" ref="G10:G73" si="0">F10/E10*100</f>
        <v>100</v>
      </c>
    </row>
    <row r="11" spans="1:10" ht="21.75" customHeight="1" x14ac:dyDescent="0.2">
      <c r="A11" s="137"/>
      <c r="B11" s="137" t="s">
        <v>205</v>
      </c>
      <c r="C11" s="137" t="s">
        <v>101</v>
      </c>
      <c r="D11" s="138"/>
      <c r="E11" s="139">
        <f>SUM(E12,E41)</f>
        <v>48220.44</v>
      </c>
      <c r="F11" s="139">
        <f>SUM(F12,F41)</f>
        <v>48220.44</v>
      </c>
      <c r="G11" s="140">
        <f t="shared" si="0"/>
        <v>100</v>
      </c>
    </row>
    <row r="12" spans="1:10" ht="21.75" customHeight="1" x14ac:dyDescent="0.2">
      <c r="A12" s="137"/>
      <c r="B12" s="141" t="s">
        <v>206</v>
      </c>
      <c r="C12" s="141" t="s">
        <v>112</v>
      </c>
      <c r="D12" s="142"/>
      <c r="E12" s="143">
        <f>SUM(E13,E17,E24,E34,E36)</f>
        <v>47780</v>
      </c>
      <c r="F12" s="143">
        <f>SUM(F13,F17,F24,F34,F36)</f>
        <v>47780</v>
      </c>
      <c r="G12" s="144">
        <f t="shared" si="0"/>
        <v>100</v>
      </c>
    </row>
    <row r="13" spans="1:10" ht="21.75" customHeight="1" x14ac:dyDescent="0.2">
      <c r="A13" s="137"/>
      <c r="B13" s="141" t="s">
        <v>207</v>
      </c>
      <c r="C13" s="141" t="s">
        <v>113</v>
      </c>
      <c r="D13" s="142"/>
      <c r="E13" s="143">
        <f>SUM(E14:E16)</f>
        <v>5750</v>
      </c>
      <c r="F13" s="143">
        <f>SUM(F14:F16)</f>
        <v>5750</v>
      </c>
      <c r="G13" s="144">
        <f t="shared" si="0"/>
        <v>100</v>
      </c>
    </row>
    <row r="14" spans="1:10" ht="21.75" customHeight="1" x14ac:dyDescent="0.2">
      <c r="A14" s="145"/>
      <c r="B14" s="146" t="s">
        <v>114</v>
      </c>
      <c r="C14" s="146" t="s">
        <v>115</v>
      </c>
      <c r="D14" s="147" t="s">
        <v>208</v>
      </c>
      <c r="E14" s="150">
        <v>5250</v>
      </c>
      <c r="F14" s="149">
        <v>5300</v>
      </c>
      <c r="G14" s="151">
        <f t="shared" si="0"/>
        <v>100.95238095238095</v>
      </c>
    </row>
    <row r="15" spans="1:10" ht="21.75" customHeight="1" x14ac:dyDescent="0.2">
      <c r="A15" s="145"/>
      <c r="B15" s="146" t="s">
        <v>209</v>
      </c>
      <c r="C15" s="146" t="s">
        <v>210</v>
      </c>
      <c r="D15" s="147" t="s">
        <v>208</v>
      </c>
      <c r="E15" s="150">
        <v>450</v>
      </c>
      <c r="F15" s="149">
        <v>450</v>
      </c>
      <c r="G15" s="151">
        <f t="shared" si="0"/>
        <v>100</v>
      </c>
    </row>
    <row r="16" spans="1:10" ht="21.75" customHeight="1" x14ac:dyDescent="0.2">
      <c r="A16" s="145"/>
      <c r="B16" s="146" t="s">
        <v>211</v>
      </c>
      <c r="C16" s="146" t="s">
        <v>212</v>
      </c>
      <c r="D16" s="147" t="s">
        <v>208</v>
      </c>
      <c r="E16" s="150">
        <v>50</v>
      </c>
      <c r="F16" s="149">
        <v>0</v>
      </c>
      <c r="G16" s="151">
        <f t="shared" si="0"/>
        <v>0</v>
      </c>
    </row>
    <row r="17" spans="1:7" ht="21.75" customHeight="1" x14ac:dyDescent="0.2">
      <c r="A17" s="137"/>
      <c r="B17" s="141" t="s">
        <v>213</v>
      </c>
      <c r="C17" s="141" t="s">
        <v>214</v>
      </c>
      <c r="D17" s="142"/>
      <c r="E17" s="143">
        <f>SUM(E18:E23)</f>
        <v>16707.54</v>
      </c>
      <c r="F17" s="143">
        <f>SUM(F18:F23)</f>
        <v>16838.78</v>
      </c>
      <c r="G17" s="144">
        <f t="shared" si="0"/>
        <v>100.78551360643158</v>
      </c>
    </row>
    <row r="18" spans="1:7" ht="21.75" customHeight="1" x14ac:dyDescent="0.2">
      <c r="A18" s="145"/>
      <c r="B18" s="146" t="s">
        <v>121</v>
      </c>
      <c r="C18" s="146" t="s">
        <v>122</v>
      </c>
      <c r="D18" s="147" t="s">
        <v>208</v>
      </c>
      <c r="E18" s="150">
        <v>12840.14</v>
      </c>
      <c r="F18" s="149">
        <v>12840.14</v>
      </c>
      <c r="G18" s="151">
        <f t="shared" si="0"/>
        <v>100</v>
      </c>
    </row>
    <row r="19" spans="1:7" ht="21.75" customHeight="1" x14ac:dyDescent="0.2">
      <c r="A19" s="145"/>
      <c r="B19" s="146" t="s">
        <v>215</v>
      </c>
      <c r="C19" s="146" t="s">
        <v>123</v>
      </c>
      <c r="D19" s="147" t="s">
        <v>208</v>
      </c>
      <c r="E19" s="150">
        <v>118.22</v>
      </c>
      <c r="F19" s="149">
        <v>118.22</v>
      </c>
      <c r="G19" s="151">
        <f t="shared" si="0"/>
        <v>100</v>
      </c>
    </row>
    <row r="20" spans="1:7" ht="21.75" customHeight="1" x14ac:dyDescent="0.2">
      <c r="A20" s="145"/>
      <c r="B20" s="146" t="s">
        <v>124</v>
      </c>
      <c r="C20" s="146" t="s">
        <v>216</v>
      </c>
      <c r="D20" s="147" t="s">
        <v>208</v>
      </c>
      <c r="E20" s="150">
        <v>77.790000000000006</v>
      </c>
      <c r="F20" s="149">
        <v>77.790000000000006</v>
      </c>
      <c r="G20" s="151">
        <f t="shared" si="0"/>
        <v>100</v>
      </c>
    </row>
    <row r="21" spans="1:7" ht="21.75" customHeight="1" x14ac:dyDescent="0.2">
      <c r="A21" s="145"/>
      <c r="B21" s="146" t="s">
        <v>126</v>
      </c>
      <c r="C21" s="146" t="s">
        <v>217</v>
      </c>
      <c r="D21" s="147" t="s">
        <v>208</v>
      </c>
      <c r="E21" s="150">
        <v>3100</v>
      </c>
      <c r="F21" s="149">
        <v>3231.24</v>
      </c>
      <c r="G21" s="151">
        <f t="shared" si="0"/>
        <v>104.23354838709677</v>
      </c>
    </row>
    <row r="22" spans="1:7" ht="21.75" customHeight="1" x14ac:dyDescent="0.2">
      <c r="A22" s="145"/>
      <c r="B22" s="146" t="s">
        <v>218</v>
      </c>
      <c r="C22" s="146" t="s">
        <v>128</v>
      </c>
      <c r="D22" s="147" t="s">
        <v>208</v>
      </c>
      <c r="E22" s="150">
        <v>33.909999999999997</v>
      </c>
      <c r="F22" s="149">
        <v>33.909999999999997</v>
      </c>
      <c r="G22" s="151">
        <f t="shared" si="0"/>
        <v>100</v>
      </c>
    </row>
    <row r="23" spans="1:7" ht="21.75" customHeight="1" x14ac:dyDescent="0.2">
      <c r="A23" s="145"/>
      <c r="B23" s="146" t="s">
        <v>219</v>
      </c>
      <c r="C23" s="146" t="s">
        <v>129</v>
      </c>
      <c r="D23" s="147" t="s">
        <v>208</v>
      </c>
      <c r="E23" s="150">
        <v>537.48</v>
      </c>
      <c r="F23" s="149">
        <v>537.48</v>
      </c>
      <c r="G23" s="151">
        <f t="shared" si="0"/>
        <v>100</v>
      </c>
    </row>
    <row r="24" spans="1:7" ht="21.75" customHeight="1" x14ac:dyDescent="0.2">
      <c r="A24" s="137"/>
      <c r="B24" s="141" t="s">
        <v>220</v>
      </c>
      <c r="C24" s="141" t="s">
        <v>130</v>
      </c>
      <c r="D24" s="142"/>
      <c r="E24" s="143">
        <f>SUM(E25:E33)</f>
        <v>24370.43</v>
      </c>
      <c r="F24" s="143">
        <f>SUM(F25:F33)</f>
        <v>24451.71</v>
      </c>
      <c r="G24" s="144">
        <f t="shared" si="0"/>
        <v>100.33351894078191</v>
      </c>
    </row>
    <row r="25" spans="1:7" ht="21.75" customHeight="1" x14ac:dyDescent="0.2">
      <c r="A25" s="145"/>
      <c r="B25" s="146" t="s">
        <v>131</v>
      </c>
      <c r="C25" s="146" t="s">
        <v>132</v>
      </c>
      <c r="D25" s="147" t="s">
        <v>208</v>
      </c>
      <c r="E25" s="150">
        <v>5000</v>
      </c>
      <c r="F25" s="149">
        <v>5000</v>
      </c>
      <c r="G25" s="151">
        <f t="shared" si="0"/>
        <v>100</v>
      </c>
    </row>
    <row r="26" spans="1:7" ht="21.75" customHeight="1" x14ac:dyDescent="0.2">
      <c r="A26" s="145"/>
      <c r="B26" s="146" t="s">
        <v>133</v>
      </c>
      <c r="C26" s="146" t="s">
        <v>134</v>
      </c>
      <c r="D26" s="147" t="s">
        <v>208</v>
      </c>
      <c r="E26" s="150">
        <v>59</v>
      </c>
      <c r="F26" s="149">
        <v>59</v>
      </c>
      <c r="G26" s="151">
        <f t="shared" si="0"/>
        <v>100</v>
      </c>
    </row>
    <row r="27" spans="1:7" ht="21.75" customHeight="1" x14ac:dyDescent="0.2">
      <c r="A27" s="145"/>
      <c r="B27" s="146">
        <v>3233</v>
      </c>
      <c r="C27" s="146" t="s">
        <v>221</v>
      </c>
      <c r="D27" s="147">
        <v>48005</v>
      </c>
      <c r="E27" s="150">
        <v>0</v>
      </c>
      <c r="F27" s="149">
        <v>0</v>
      </c>
      <c r="G27" s="151" t="e">
        <f t="shared" si="0"/>
        <v>#DIV/0!</v>
      </c>
    </row>
    <row r="28" spans="1:7" ht="21.75" customHeight="1" x14ac:dyDescent="0.2">
      <c r="A28" s="145"/>
      <c r="B28" s="146" t="s">
        <v>136</v>
      </c>
      <c r="C28" s="146" t="s">
        <v>137</v>
      </c>
      <c r="D28" s="147" t="s">
        <v>208</v>
      </c>
      <c r="E28" s="150">
        <v>16139.55</v>
      </c>
      <c r="F28" s="149">
        <v>16139.55</v>
      </c>
      <c r="G28" s="151">
        <f t="shared" si="0"/>
        <v>100</v>
      </c>
    </row>
    <row r="29" spans="1:7" ht="21.75" customHeight="1" x14ac:dyDescent="0.2">
      <c r="A29" s="145"/>
      <c r="B29" s="146" t="s">
        <v>222</v>
      </c>
      <c r="C29" s="146" t="s">
        <v>138</v>
      </c>
      <c r="D29" s="147" t="s">
        <v>208</v>
      </c>
      <c r="E29" s="150">
        <v>500</v>
      </c>
      <c r="F29" s="149">
        <v>465.2</v>
      </c>
      <c r="G29" s="151">
        <f t="shared" si="0"/>
        <v>93.04</v>
      </c>
    </row>
    <row r="30" spans="1:7" ht="21.75" customHeight="1" x14ac:dyDescent="0.2">
      <c r="A30" s="145"/>
      <c r="B30" s="146" t="s">
        <v>223</v>
      </c>
      <c r="C30" s="146" t="s">
        <v>139</v>
      </c>
      <c r="D30" s="147" t="s">
        <v>208</v>
      </c>
      <c r="E30" s="150">
        <v>244.2</v>
      </c>
      <c r="F30" s="149">
        <v>244.2</v>
      </c>
      <c r="G30" s="151">
        <f t="shared" si="0"/>
        <v>100</v>
      </c>
    </row>
    <row r="31" spans="1:7" ht="21.75" customHeight="1" x14ac:dyDescent="0.2">
      <c r="A31" s="145"/>
      <c r="B31" s="146" t="s">
        <v>224</v>
      </c>
      <c r="C31" s="146" t="s">
        <v>225</v>
      </c>
      <c r="D31" s="147" t="s">
        <v>208</v>
      </c>
      <c r="E31" s="150">
        <v>522.48</v>
      </c>
      <c r="F31" s="149">
        <v>464.43</v>
      </c>
      <c r="G31" s="151">
        <f t="shared" si="0"/>
        <v>88.88952687184198</v>
      </c>
    </row>
    <row r="32" spans="1:7" ht="21.75" customHeight="1" x14ac:dyDescent="0.2">
      <c r="A32" s="145"/>
      <c r="B32" s="146" t="s">
        <v>141</v>
      </c>
      <c r="C32" s="146" t="s">
        <v>142</v>
      </c>
      <c r="D32" s="147" t="s">
        <v>208</v>
      </c>
      <c r="E32" s="150">
        <v>1055.2</v>
      </c>
      <c r="F32" s="149">
        <v>1229.33</v>
      </c>
      <c r="G32" s="151">
        <f t="shared" si="0"/>
        <v>116.50208491281273</v>
      </c>
    </row>
    <row r="33" spans="1:7" ht="21.75" customHeight="1" x14ac:dyDescent="0.2">
      <c r="A33" s="145"/>
      <c r="B33" s="146" t="s">
        <v>143</v>
      </c>
      <c r="C33" s="146" t="s">
        <v>144</v>
      </c>
      <c r="D33" s="147" t="s">
        <v>208</v>
      </c>
      <c r="E33" s="150">
        <v>850</v>
      </c>
      <c r="F33" s="149">
        <v>850</v>
      </c>
      <c r="G33" s="151">
        <f t="shared" si="0"/>
        <v>100</v>
      </c>
    </row>
    <row r="34" spans="1:7" ht="21.75" customHeight="1" x14ac:dyDescent="0.2">
      <c r="A34" s="137"/>
      <c r="B34" s="141" t="s">
        <v>226</v>
      </c>
      <c r="C34" s="141" t="s">
        <v>145</v>
      </c>
      <c r="D34" s="142"/>
      <c r="E34" s="143">
        <f>E35</f>
        <v>132</v>
      </c>
      <c r="F34" s="143">
        <f>F35</f>
        <v>0</v>
      </c>
      <c r="G34" s="144">
        <f t="shared" si="0"/>
        <v>0</v>
      </c>
    </row>
    <row r="35" spans="1:7" ht="21.75" customHeight="1" x14ac:dyDescent="0.2">
      <c r="A35" s="145"/>
      <c r="B35" s="146" t="s">
        <v>227</v>
      </c>
      <c r="C35" s="146" t="s">
        <v>145</v>
      </c>
      <c r="D35" s="147" t="s">
        <v>208</v>
      </c>
      <c r="E35" s="150">
        <v>132</v>
      </c>
      <c r="F35" s="149">
        <v>0</v>
      </c>
      <c r="G35" s="151">
        <f t="shared" si="0"/>
        <v>0</v>
      </c>
    </row>
    <row r="36" spans="1:7" ht="21.75" customHeight="1" x14ac:dyDescent="0.2">
      <c r="A36" s="137"/>
      <c r="B36" s="141" t="s">
        <v>228</v>
      </c>
      <c r="C36" s="141" t="s">
        <v>229</v>
      </c>
      <c r="D36" s="142"/>
      <c r="E36" s="143">
        <f>SUM(E37:E40)</f>
        <v>820.03</v>
      </c>
      <c r="F36" s="143">
        <f>SUM(F37:F40)</f>
        <v>739.51</v>
      </c>
      <c r="G36" s="144">
        <f t="shared" si="0"/>
        <v>90.180847042181384</v>
      </c>
    </row>
    <row r="37" spans="1:7" ht="21.75" customHeight="1" x14ac:dyDescent="0.2">
      <c r="A37" s="145"/>
      <c r="B37" s="146" t="s">
        <v>148</v>
      </c>
      <c r="C37" s="146" t="s">
        <v>149</v>
      </c>
      <c r="D37" s="147" t="s">
        <v>208</v>
      </c>
      <c r="E37" s="150">
        <v>56.49</v>
      </c>
      <c r="F37" s="149">
        <v>56.49</v>
      </c>
      <c r="G37" s="151">
        <f t="shared" si="0"/>
        <v>100</v>
      </c>
    </row>
    <row r="38" spans="1:7" ht="21.75" customHeight="1" x14ac:dyDescent="0.2">
      <c r="A38" s="145"/>
      <c r="B38" s="146" t="s">
        <v>230</v>
      </c>
      <c r="C38" s="146" t="s">
        <v>150</v>
      </c>
      <c r="D38" s="147" t="s">
        <v>208</v>
      </c>
      <c r="E38" s="150">
        <v>163.09</v>
      </c>
      <c r="F38" s="149">
        <v>176.36</v>
      </c>
      <c r="G38" s="151">
        <f t="shared" si="0"/>
        <v>108.13661168679872</v>
      </c>
    </row>
    <row r="39" spans="1:7" ht="21.75" customHeight="1" x14ac:dyDescent="0.2">
      <c r="A39" s="145"/>
      <c r="B39" s="146" t="s">
        <v>231</v>
      </c>
      <c r="C39" s="146" t="s">
        <v>151</v>
      </c>
      <c r="D39" s="147" t="s">
        <v>208</v>
      </c>
      <c r="E39" s="150">
        <v>320</v>
      </c>
      <c r="F39" s="149">
        <v>294.20999999999998</v>
      </c>
      <c r="G39" s="151">
        <f t="shared" si="0"/>
        <v>91.940624999999997</v>
      </c>
    </row>
    <row r="40" spans="1:7" ht="21.75" customHeight="1" x14ac:dyDescent="0.2">
      <c r="A40" s="145"/>
      <c r="B40" s="146" t="s">
        <v>153</v>
      </c>
      <c r="C40" s="146" t="s">
        <v>146</v>
      </c>
      <c r="D40" s="147" t="s">
        <v>208</v>
      </c>
      <c r="E40" s="150">
        <v>280.45</v>
      </c>
      <c r="F40" s="149">
        <v>212.45</v>
      </c>
      <c r="G40" s="151">
        <f t="shared" si="0"/>
        <v>75.753253699411658</v>
      </c>
    </row>
    <row r="41" spans="1:7" ht="21.75" customHeight="1" x14ac:dyDescent="0.2">
      <c r="A41" s="137"/>
      <c r="B41" s="141" t="s">
        <v>232</v>
      </c>
      <c r="C41" s="141" t="s">
        <v>154</v>
      </c>
      <c r="D41" s="142"/>
      <c r="E41" s="143">
        <f>E42</f>
        <v>440.44</v>
      </c>
      <c r="F41" s="143">
        <f>F42</f>
        <v>440.44</v>
      </c>
      <c r="G41" s="144">
        <f t="shared" si="0"/>
        <v>100</v>
      </c>
    </row>
    <row r="42" spans="1:7" ht="21.75" customHeight="1" x14ac:dyDescent="0.2">
      <c r="A42" s="137"/>
      <c r="B42" s="141" t="s">
        <v>233</v>
      </c>
      <c r="C42" s="141" t="s">
        <v>155</v>
      </c>
      <c r="D42" s="142"/>
      <c r="E42" s="143">
        <f>E43</f>
        <v>440.44</v>
      </c>
      <c r="F42" s="143">
        <f>F43</f>
        <v>440.44</v>
      </c>
      <c r="G42" s="144">
        <f t="shared" si="0"/>
        <v>100</v>
      </c>
    </row>
    <row r="43" spans="1:7" ht="21.75" customHeight="1" x14ac:dyDescent="0.2">
      <c r="A43" s="145"/>
      <c r="B43" s="145" t="s">
        <v>156</v>
      </c>
      <c r="C43" s="145" t="s">
        <v>157</v>
      </c>
      <c r="D43" s="152" t="s">
        <v>208</v>
      </c>
      <c r="E43" s="154">
        <v>440.44</v>
      </c>
      <c r="F43" s="153">
        <v>440.44</v>
      </c>
      <c r="G43" s="155">
        <f t="shared" si="0"/>
        <v>100</v>
      </c>
    </row>
    <row r="44" spans="1:7" ht="21.75" customHeight="1" x14ac:dyDescent="0.2">
      <c r="A44" s="133" t="s">
        <v>234</v>
      </c>
      <c r="B44" s="270" t="s">
        <v>235</v>
      </c>
      <c r="C44" s="271"/>
      <c r="D44" s="134"/>
      <c r="E44" s="135">
        <f>E45</f>
        <v>6357.5199999999995</v>
      </c>
      <c r="F44" s="135">
        <f>F45</f>
        <v>6357.5199999999995</v>
      </c>
      <c r="G44" s="136">
        <f t="shared" si="0"/>
        <v>100</v>
      </c>
    </row>
    <row r="45" spans="1:7" ht="21.75" customHeight="1" x14ac:dyDescent="0.2">
      <c r="A45" s="137"/>
      <c r="B45" s="137" t="s">
        <v>205</v>
      </c>
      <c r="C45" s="137" t="s">
        <v>101</v>
      </c>
      <c r="D45" s="138"/>
      <c r="E45" s="139">
        <f>SUM(E46,E52)</f>
        <v>6357.5199999999995</v>
      </c>
      <c r="F45" s="139">
        <f>SUM(F46,F52)</f>
        <v>6357.5199999999995</v>
      </c>
      <c r="G45" s="140">
        <f t="shared" si="0"/>
        <v>100</v>
      </c>
    </row>
    <row r="46" spans="1:7" ht="21.75" customHeight="1" x14ac:dyDescent="0.2">
      <c r="A46" s="137"/>
      <c r="B46" s="141" t="s">
        <v>206</v>
      </c>
      <c r="C46" s="141" t="s">
        <v>112</v>
      </c>
      <c r="D46" s="142"/>
      <c r="E46" s="143">
        <f>E49+E47</f>
        <v>6357.5199999999995</v>
      </c>
      <c r="F46" s="143">
        <f>F49+F47</f>
        <v>6357.5199999999995</v>
      </c>
      <c r="G46" s="144">
        <f t="shared" si="0"/>
        <v>100</v>
      </c>
    </row>
    <row r="47" spans="1:7" ht="21.75" customHeight="1" x14ac:dyDescent="0.2">
      <c r="A47" s="137"/>
      <c r="B47" s="141" t="s">
        <v>213</v>
      </c>
      <c r="C47" s="141" t="s">
        <v>214</v>
      </c>
      <c r="D47" s="142"/>
      <c r="E47" s="143">
        <f>E48</f>
        <v>0</v>
      </c>
      <c r="F47" s="143">
        <f>F48</f>
        <v>0</v>
      </c>
      <c r="G47" s="144" t="e">
        <f t="shared" si="0"/>
        <v>#DIV/0!</v>
      </c>
    </row>
    <row r="48" spans="1:7" ht="21.75" customHeight="1" x14ac:dyDescent="0.2">
      <c r="A48" s="137"/>
      <c r="B48" s="146">
        <v>3223</v>
      </c>
      <c r="C48" s="146" t="s">
        <v>125</v>
      </c>
      <c r="D48" s="147">
        <v>48005</v>
      </c>
      <c r="E48" s="148">
        <v>0</v>
      </c>
      <c r="F48" s="148">
        <v>0</v>
      </c>
      <c r="G48" s="151" t="e">
        <f t="shared" si="0"/>
        <v>#DIV/0!</v>
      </c>
    </row>
    <row r="49" spans="1:7" ht="21.75" customHeight="1" x14ac:dyDescent="0.2">
      <c r="A49" s="137"/>
      <c r="B49" s="141" t="s">
        <v>220</v>
      </c>
      <c r="C49" s="141" t="s">
        <v>130</v>
      </c>
      <c r="D49" s="142"/>
      <c r="E49" s="143">
        <f>SUM(E50:E51)</f>
        <v>6357.5199999999995</v>
      </c>
      <c r="F49" s="143">
        <f>SUM(F50:F51)</f>
        <v>6357.5199999999995</v>
      </c>
      <c r="G49" s="144">
        <f t="shared" si="0"/>
        <v>100</v>
      </c>
    </row>
    <row r="50" spans="1:7" ht="21.75" customHeight="1" x14ac:dyDescent="0.2">
      <c r="A50" s="145"/>
      <c r="B50" s="146" t="s">
        <v>222</v>
      </c>
      <c r="C50" s="146" t="s">
        <v>138</v>
      </c>
      <c r="D50" s="147" t="s">
        <v>208</v>
      </c>
      <c r="E50" s="150">
        <v>464.53</v>
      </c>
      <c r="F50" s="149">
        <v>464.53</v>
      </c>
      <c r="G50" s="151">
        <f t="shared" si="0"/>
        <v>100</v>
      </c>
    </row>
    <row r="51" spans="1:7" ht="21.75" customHeight="1" x14ac:dyDescent="0.2">
      <c r="A51" s="145"/>
      <c r="B51" s="146" t="s">
        <v>223</v>
      </c>
      <c r="C51" s="146" t="s">
        <v>139</v>
      </c>
      <c r="D51" s="147" t="s">
        <v>208</v>
      </c>
      <c r="E51" s="150">
        <v>5892.99</v>
      </c>
      <c r="F51" s="149">
        <v>5892.99</v>
      </c>
      <c r="G51" s="151">
        <f t="shared" si="0"/>
        <v>100</v>
      </c>
    </row>
    <row r="52" spans="1:7" ht="21.75" customHeight="1" x14ac:dyDescent="0.2">
      <c r="A52" s="137"/>
      <c r="B52" s="141" t="s">
        <v>236</v>
      </c>
      <c r="C52" s="141" t="s">
        <v>237</v>
      </c>
      <c r="D52" s="142"/>
      <c r="E52" s="143">
        <f>E53</f>
        <v>0</v>
      </c>
      <c r="F52" s="143">
        <f>F53</f>
        <v>0</v>
      </c>
      <c r="G52" s="144" t="e">
        <f t="shared" si="0"/>
        <v>#DIV/0!</v>
      </c>
    </row>
    <row r="53" spans="1:7" ht="21.75" customHeight="1" x14ac:dyDescent="0.2">
      <c r="A53" s="137"/>
      <c r="B53" s="141" t="s">
        <v>238</v>
      </c>
      <c r="C53" s="141" t="s">
        <v>239</v>
      </c>
      <c r="D53" s="142"/>
      <c r="E53" s="143">
        <f>E54</f>
        <v>0</v>
      </c>
      <c r="F53" s="143">
        <f>F54</f>
        <v>0</v>
      </c>
      <c r="G53" s="144" t="e">
        <f t="shared" si="0"/>
        <v>#DIV/0!</v>
      </c>
    </row>
    <row r="54" spans="1:7" ht="21.75" customHeight="1" x14ac:dyDescent="0.2">
      <c r="A54" s="145"/>
      <c r="B54" s="145">
        <v>3722</v>
      </c>
      <c r="C54" s="145" t="s">
        <v>164</v>
      </c>
      <c r="D54" s="152" t="s">
        <v>208</v>
      </c>
      <c r="E54" s="154">
        <v>0</v>
      </c>
      <c r="F54" s="153">
        <v>0</v>
      </c>
      <c r="G54" s="155" t="e">
        <f t="shared" si="0"/>
        <v>#DIV/0!</v>
      </c>
    </row>
    <row r="55" spans="1:7" ht="21.75" customHeight="1" x14ac:dyDescent="0.2">
      <c r="A55" s="133" t="s">
        <v>240</v>
      </c>
      <c r="B55" s="270" t="s">
        <v>241</v>
      </c>
      <c r="C55" s="271"/>
      <c r="D55" s="134"/>
      <c r="E55" s="135">
        <f>E56</f>
        <v>12700</v>
      </c>
      <c r="F55" s="135">
        <f>F56</f>
        <v>12322.08</v>
      </c>
      <c r="G55" s="136">
        <f t="shared" si="0"/>
        <v>97.024251968503933</v>
      </c>
    </row>
    <row r="56" spans="1:7" ht="21.75" customHeight="1" x14ac:dyDescent="0.2">
      <c r="A56" s="137"/>
      <c r="B56" s="137" t="s">
        <v>205</v>
      </c>
      <c r="C56" s="137" t="s">
        <v>101</v>
      </c>
      <c r="D56" s="138"/>
      <c r="E56" s="139">
        <f>E57+E82</f>
        <v>12700</v>
      </c>
      <c r="F56" s="139">
        <f>F57+F82</f>
        <v>12322.08</v>
      </c>
      <c r="G56" s="140">
        <f t="shared" si="0"/>
        <v>97.024251968503933</v>
      </c>
    </row>
    <row r="57" spans="1:7" ht="21.75" customHeight="1" x14ac:dyDescent="0.2">
      <c r="A57" s="137"/>
      <c r="B57" s="141" t="s">
        <v>206</v>
      </c>
      <c r="C57" s="141" t="s">
        <v>112</v>
      </c>
      <c r="D57" s="142"/>
      <c r="E57" s="143">
        <f>SUM(E58,E61,E67,E75,E77)</f>
        <v>12700</v>
      </c>
      <c r="F57" s="143">
        <f>SUM(F58,F61,F67,F75,F77)</f>
        <v>12322.08</v>
      </c>
      <c r="G57" s="144">
        <f t="shared" si="0"/>
        <v>97.024251968503933</v>
      </c>
    </row>
    <row r="58" spans="1:7" ht="21.75" customHeight="1" x14ac:dyDescent="0.2">
      <c r="A58" s="137"/>
      <c r="B58" s="141" t="s">
        <v>207</v>
      </c>
      <c r="C58" s="141" t="s">
        <v>113</v>
      </c>
      <c r="D58" s="142"/>
      <c r="E58" s="143">
        <f>SUM(E59:E60)</f>
        <v>430.89</v>
      </c>
      <c r="F58" s="143">
        <f>SUM(F59:F60)</f>
        <v>735.59</v>
      </c>
      <c r="G58" s="144">
        <f t="shared" si="0"/>
        <v>170.71410336744879</v>
      </c>
    </row>
    <row r="59" spans="1:7" ht="21.75" customHeight="1" x14ac:dyDescent="0.2">
      <c r="A59" s="145"/>
      <c r="B59" s="146" t="s">
        <v>114</v>
      </c>
      <c r="C59" s="146" t="s">
        <v>115</v>
      </c>
      <c r="D59" s="147" t="s">
        <v>242</v>
      </c>
      <c r="E59" s="150">
        <v>298.17</v>
      </c>
      <c r="F59" s="149">
        <v>695.59</v>
      </c>
      <c r="G59" s="151">
        <f t="shared" si="0"/>
        <v>233.28638025287586</v>
      </c>
    </row>
    <row r="60" spans="1:7" ht="21.75" customHeight="1" x14ac:dyDescent="0.2">
      <c r="A60" s="145"/>
      <c r="B60" s="146" t="s">
        <v>209</v>
      </c>
      <c r="C60" s="146" t="s">
        <v>210</v>
      </c>
      <c r="D60" s="147" t="s">
        <v>242</v>
      </c>
      <c r="E60" s="150">
        <v>132.72</v>
      </c>
      <c r="F60" s="149">
        <v>40</v>
      </c>
      <c r="G60" s="151">
        <f t="shared" si="0"/>
        <v>30.138637733574441</v>
      </c>
    </row>
    <row r="61" spans="1:7" ht="21.75" customHeight="1" x14ac:dyDescent="0.2">
      <c r="A61" s="137"/>
      <c r="B61" s="141" t="s">
        <v>213</v>
      </c>
      <c r="C61" s="141" t="s">
        <v>214</v>
      </c>
      <c r="D61" s="142"/>
      <c r="E61" s="143">
        <f>SUM(E62:E66)</f>
        <v>7150.9900000000007</v>
      </c>
      <c r="F61" s="143">
        <f>SUM(F62:F66)</f>
        <v>5401.81</v>
      </c>
      <c r="G61" s="144">
        <f t="shared" si="0"/>
        <v>75.539330917816969</v>
      </c>
    </row>
    <row r="62" spans="1:7" ht="21.75" customHeight="1" x14ac:dyDescent="0.2">
      <c r="A62" s="145"/>
      <c r="B62" s="146" t="s">
        <v>121</v>
      </c>
      <c r="C62" s="146" t="s">
        <v>122</v>
      </c>
      <c r="D62" s="147" t="s">
        <v>242</v>
      </c>
      <c r="E62" s="150">
        <v>2200</v>
      </c>
      <c r="F62" s="149">
        <v>1288.01</v>
      </c>
      <c r="G62" s="151">
        <f t="shared" si="0"/>
        <v>58.545909090909085</v>
      </c>
    </row>
    <row r="63" spans="1:7" ht="21.75" customHeight="1" x14ac:dyDescent="0.2">
      <c r="A63" s="145"/>
      <c r="B63" s="146">
        <v>3222</v>
      </c>
      <c r="C63" s="146" t="s">
        <v>123</v>
      </c>
      <c r="D63" s="147">
        <v>32300</v>
      </c>
      <c r="E63" s="150">
        <v>1289.98</v>
      </c>
      <c r="F63" s="149">
        <v>787.54</v>
      </c>
      <c r="G63" s="151">
        <f t="shared" si="0"/>
        <v>61.050558923394163</v>
      </c>
    </row>
    <row r="64" spans="1:7" ht="21.75" customHeight="1" x14ac:dyDescent="0.2">
      <c r="A64" s="145"/>
      <c r="B64" s="146" t="s">
        <v>124</v>
      </c>
      <c r="C64" s="146" t="s">
        <v>125</v>
      </c>
      <c r="D64" s="147" t="s">
        <v>242</v>
      </c>
      <c r="E64" s="150">
        <v>3228.29</v>
      </c>
      <c r="F64" s="149">
        <v>3227.87</v>
      </c>
      <c r="G64" s="151">
        <f t="shared" si="0"/>
        <v>99.986990016386386</v>
      </c>
    </row>
    <row r="65" spans="1:7" ht="21.75" customHeight="1" x14ac:dyDescent="0.2">
      <c r="A65" s="145"/>
      <c r="B65" s="146" t="s">
        <v>126</v>
      </c>
      <c r="C65" s="146" t="s">
        <v>217</v>
      </c>
      <c r="D65" s="147" t="s">
        <v>242</v>
      </c>
      <c r="E65" s="150">
        <v>300</v>
      </c>
      <c r="F65" s="149">
        <v>39</v>
      </c>
      <c r="G65" s="151">
        <f t="shared" si="0"/>
        <v>13</v>
      </c>
    </row>
    <row r="66" spans="1:7" ht="21.75" customHeight="1" x14ac:dyDescent="0.2">
      <c r="A66" s="145"/>
      <c r="B66" s="146" t="s">
        <v>218</v>
      </c>
      <c r="C66" s="146" t="s">
        <v>128</v>
      </c>
      <c r="D66" s="147" t="s">
        <v>242</v>
      </c>
      <c r="E66" s="150">
        <v>132.72</v>
      </c>
      <c r="F66" s="149">
        <v>59.39</v>
      </c>
      <c r="G66" s="151">
        <f t="shared" si="0"/>
        <v>44.748342374924654</v>
      </c>
    </row>
    <row r="67" spans="1:7" ht="21.75" customHeight="1" x14ac:dyDescent="0.2">
      <c r="A67" s="137"/>
      <c r="B67" s="141" t="s">
        <v>220</v>
      </c>
      <c r="C67" s="141" t="s">
        <v>130</v>
      </c>
      <c r="D67" s="142"/>
      <c r="E67" s="143">
        <f>SUM(E68:E74)</f>
        <v>2398.12</v>
      </c>
      <c r="F67" s="143">
        <f>SUM(F68:F74)</f>
        <v>3567.2</v>
      </c>
      <c r="G67" s="144">
        <f t="shared" si="0"/>
        <v>148.74985405234099</v>
      </c>
    </row>
    <row r="68" spans="1:7" ht="21.75" customHeight="1" x14ac:dyDescent="0.2">
      <c r="A68" s="145"/>
      <c r="B68" s="146" t="s">
        <v>131</v>
      </c>
      <c r="C68" s="146" t="s">
        <v>132</v>
      </c>
      <c r="D68" s="147" t="s">
        <v>242</v>
      </c>
      <c r="E68" s="150">
        <v>703.17</v>
      </c>
      <c r="F68" s="149">
        <v>594.66999999999996</v>
      </c>
      <c r="G68" s="151">
        <f t="shared" si="0"/>
        <v>84.569876416798223</v>
      </c>
    </row>
    <row r="69" spans="1:7" ht="21.75" customHeight="1" x14ac:dyDescent="0.2">
      <c r="A69" s="145"/>
      <c r="B69" s="146" t="s">
        <v>133</v>
      </c>
      <c r="C69" s="146" t="s">
        <v>134</v>
      </c>
      <c r="D69" s="147" t="s">
        <v>242</v>
      </c>
      <c r="E69" s="150">
        <v>561.78</v>
      </c>
      <c r="F69" s="149">
        <v>1109.9000000000001</v>
      </c>
      <c r="G69" s="151">
        <f t="shared" si="0"/>
        <v>197.56844316280399</v>
      </c>
    </row>
    <row r="70" spans="1:7" ht="21.75" customHeight="1" x14ac:dyDescent="0.2">
      <c r="A70" s="145"/>
      <c r="B70" s="146" t="s">
        <v>243</v>
      </c>
      <c r="C70" s="146" t="s">
        <v>221</v>
      </c>
      <c r="D70" s="147" t="s">
        <v>242</v>
      </c>
      <c r="E70" s="150">
        <v>132.72</v>
      </c>
      <c r="F70" s="149">
        <v>0</v>
      </c>
      <c r="G70" s="151">
        <f t="shared" si="0"/>
        <v>0</v>
      </c>
    </row>
    <row r="71" spans="1:7" ht="21.75" customHeight="1" x14ac:dyDescent="0.2">
      <c r="A71" s="145"/>
      <c r="B71" s="146">
        <v>3234</v>
      </c>
      <c r="C71" s="146" t="s">
        <v>137</v>
      </c>
      <c r="D71" s="147">
        <v>32300</v>
      </c>
      <c r="E71" s="150">
        <v>0</v>
      </c>
      <c r="F71" s="149">
        <v>520.72</v>
      </c>
      <c r="G71" s="151" t="e">
        <f t="shared" si="0"/>
        <v>#DIV/0!</v>
      </c>
    </row>
    <row r="72" spans="1:7" ht="21.75" customHeight="1" x14ac:dyDescent="0.2">
      <c r="A72" s="145"/>
      <c r="B72" s="146" t="s">
        <v>224</v>
      </c>
      <c r="C72" s="146" t="s">
        <v>225</v>
      </c>
      <c r="D72" s="147" t="s">
        <v>242</v>
      </c>
      <c r="E72" s="150">
        <v>800.45</v>
      </c>
      <c r="F72" s="149">
        <v>755.36</v>
      </c>
      <c r="G72" s="151">
        <f t="shared" si="0"/>
        <v>94.36691860828283</v>
      </c>
    </row>
    <row r="73" spans="1:7" ht="21.75" customHeight="1" x14ac:dyDescent="0.2">
      <c r="A73" s="145"/>
      <c r="B73" s="146">
        <v>3238</v>
      </c>
      <c r="C73" s="146" t="s">
        <v>142</v>
      </c>
      <c r="D73" s="147">
        <v>32300</v>
      </c>
      <c r="E73" s="150">
        <v>0</v>
      </c>
      <c r="F73" s="149">
        <v>152.97</v>
      </c>
      <c r="G73" s="151" t="e">
        <f t="shared" si="0"/>
        <v>#DIV/0!</v>
      </c>
    </row>
    <row r="74" spans="1:7" ht="21.75" customHeight="1" x14ac:dyDescent="0.2">
      <c r="A74" s="145"/>
      <c r="B74" s="146" t="s">
        <v>143</v>
      </c>
      <c r="C74" s="146" t="s">
        <v>144</v>
      </c>
      <c r="D74" s="147" t="s">
        <v>242</v>
      </c>
      <c r="E74" s="150">
        <v>200</v>
      </c>
      <c r="F74" s="149">
        <v>433.58</v>
      </c>
      <c r="G74" s="151">
        <f t="shared" ref="G74:G107" si="1">F74/E74*100</f>
        <v>216.79</v>
      </c>
    </row>
    <row r="75" spans="1:7" ht="21.75" customHeight="1" x14ac:dyDescent="0.2">
      <c r="A75" s="137"/>
      <c r="B75" s="141" t="s">
        <v>226</v>
      </c>
      <c r="C75" s="141" t="s">
        <v>145</v>
      </c>
      <c r="D75" s="142"/>
      <c r="E75" s="143">
        <f>E76</f>
        <v>60</v>
      </c>
      <c r="F75" s="143">
        <f>F76</f>
        <v>0</v>
      </c>
      <c r="G75" s="144">
        <f t="shared" si="1"/>
        <v>0</v>
      </c>
    </row>
    <row r="76" spans="1:7" ht="21.75" customHeight="1" x14ac:dyDescent="0.2">
      <c r="A76" s="145"/>
      <c r="B76" s="146" t="s">
        <v>227</v>
      </c>
      <c r="C76" s="146" t="s">
        <v>145</v>
      </c>
      <c r="D76" s="147" t="s">
        <v>242</v>
      </c>
      <c r="E76" s="150">
        <v>60</v>
      </c>
      <c r="F76" s="149">
        <v>0</v>
      </c>
      <c r="G76" s="151">
        <f t="shared" si="1"/>
        <v>0</v>
      </c>
    </row>
    <row r="77" spans="1:7" ht="21.75" customHeight="1" x14ac:dyDescent="0.2">
      <c r="A77" s="137"/>
      <c r="B77" s="141" t="s">
        <v>228</v>
      </c>
      <c r="C77" s="141" t="s">
        <v>229</v>
      </c>
      <c r="D77" s="142"/>
      <c r="E77" s="143">
        <f>SUM(E78:E81)</f>
        <v>2660</v>
      </c>
      <c r="F77" s="143">
        <f>SUM(F78:F81)</f>
        <v>2617.48</v>
      </c>
      <c r="G77" s="144">
        <f t="shared" si="1"/>
        <v>98.401503759398494</v>
      </c>
    </row>
    <row r="78" spans="1:7" ht="21.75" customHeight="1" x14ac:dyDescent="0.2">
      <c r="A78" s="137"/>
      <c r="B78" s="156">
        <v>3292</v>
      </c>
      <c r="C78" s="156" t="s">
        <v>147</v>
      </c>
      <c r="D78" s="157">
        <v>32300</v>
      </c>
      <c r="E78" s="158">
        <v>2260</v>
      </c>
      <c r="F78" s="158">
        <v>2260</v>
      </c>
      <c r="G78" s="151">
        <f t="shared" si="1"/>
        <v>100</v>
      </c>
    </row>
    <row r="79" spans="1:7" ht="21.75" customHeight="1" x14ac:dyDescent="0.2">
      <c r="A79" s="145"/>
      <c r="B79" s="156" t="s">
        <v>148</v>
      </c>
      <c r="C79" s="156" t="s">
        <v>149</v>
      </c>
      <c r="D79" s="157" t="s">
        <v>242</v>
      </c>
      <c r="E79" s="160">
        <v>200</v>
      </c>
      <c r="F79" s="159">
        <v>0</v>
      </c>
      <c r="G79" s="161">
        <f t="shared" si="1"/>
        <v>0</v>
      </c>
    </row>
    <row r="80" spans="1:7" ht="21.75" customHeight="1" x14ac:dyDescent="0.2">
      <c r="A80" s="145"/>
      <c r="B80" s="146" t="s">
        <v>231</v>
      </c>
      <c r="C80" s="146" t="s">
        <v>151</v>
      </c>
      <c r="D80" s="157">
        <v>32300</v>
      </c>
      <c r="E80" s="160">
        <v>0</v>
      </c>
      <c r="F80" s="159">
        <v>60.42</v>
      </c>
      <c r="G80" s="161" t="e">
        <f t="shared" si="1"/>
        <v>#DIV/0!</v>
      </c>
    </row>
    <row r="81" spans="1:7" ht="21.75" customHeight="1" x14ac:dyDescent="0.2">
      <c r="A81" s="145"/>
      <c r="B81" s="156">
        <v>3299</v>
      </c>
      <c r="C81" s="156" t="s">
        <v>146</v>
      </c>
      <c r="D81" s="157">
        <v>32300</v>
      </c>
      <c r="E81" s="160">
        <v>200</v>
      </c>
      <c r="F81" s="159">
        <v>297.06</v>
      </c>
      <c r="G81" s="161">
        <f t="shared" si="1"/>
        <v>148.53</v>
      </c>
    </row>
    <row r="82" spans="1:7" ht="21.75" customHeight="1" x14ac:dyDescent="0.2">
      <c r="A82" s="145"/>
      <c r="B82" s="162">
        <v>38</v>
      </c>
      <c r="C82" s="162" t="s">
        <v>165</v>
      </c>
      <c r="D82" s="163"/>
      <c r="E82" s="164">
        <f>E83</f>
        <v>0</v>
      </c>
      <c r="F82" s="164">
        <f>F83</f>
        <v>0</v>
      </c>
      <c r="G82" s="161" t="e">
        <f t="shared" si="1"/>
        <v>#DIV/0!</v>
      </c>
    </row>
    <row r="83" spans="1:7" ht="21.75" customHeight="1" x14ac:dyDescent="0.2">
      <c r="A83" s="145"/>
      <c r="B83" s="162">
        <v>381</v>
      </c>
      <c r="C83" s="162" t="s">
        <v>166</v>
      </c>
      <c r="D83" s="163"/>
      <c r="E83" s="164">
        <f>E84</f>
        <v>0</v>
      </c>
      <c r="F83" s="164">
        <f>F84</f>
        <v>0</v>
      </c>
      <c r="G83" s="161" t="e">
        <f t="shared" si="1"/>
        <v>#DIV/0!</v>
      </c>
    </row>
    <row r="84" spans="1:7" ht="21.75" customHeight="1" x14ac:dyDescent="0.2">
      <c r="A84" s="145"/>
      <c r="B84" s="156">
        <v>3811</v>
      </c>
      <c r="C84" s="156" t="s">
        <v>167</v>
      </c>
      <c r="D84" s="157">
        <v>32300</v>
      </c>
      <c r="E84" s="160">
        <v>0</v>
      </c>
      <c r="F84" s="159">
        <v>0</v>
      </c>
      <c r="G84" s="161" t="e">
        <f t="shared" si="1"/>
        <v>#DIV/0!</v>
      </c>
    </row>
    <row r="85" spans="1:7" ht="21.75" customHeight="1" x14ac:dyDescent="0.2">
      <c r="A85" s="133" t="s">
        <v>244</v>
      </c>
      <c r="B85" s="270" t="s">
        <v>245</v>
      </c>
      <c r="C85" s="271"/>
      <c r="D85" s="134"/>
      <c r="E85" s="135">
        <f>E86</f>
        <v>1725000</v>
      </c>
      <c r="F85" s="135">
        <f>F86</f>
        <v>1725542.49</v>
      </c>
      <c r="G85" s="136">
        <f t="shared" si="1"/>
        <v>100.03144869565217</v>
      </c>
    </row>
    <row r="86" spans="1:7" ht="21.75" customHeight="1" x14ac:dyDescent="0.2">
      <c r="A86" s="137"/>
      <c r="B86" s="137" t="s">
        <v>205</v>
      </c>
      <c r="C86" s="137" t="s">
        <v>101</v>
      </c>
      <c r="D86" s="138"/>
      <c r="E86" s="139">
        <f>SUM(E87,E95,E104)</f>
        <v>1725000</v>
      </c>
      <c r="F86" s="139">
        <f>SUM(F87,F95,F104)</f>
        <v>1725542.49</v>
      </c>
      <c r="G86" s="140">
        <f t="shared" si="1"/>
        <v>100.03144869565217</v>
      </c>
    </row>
    <row r="87" spans="1:7" ht="21.75" customHeight="1" x14ac:dyDescent="0.2">
      <c r="A87" s="137"/>
      <c r="B87" s="141" t="s">
        <v>246</v>
      </c>
      <c r="C87" s="141" t="s">
        <v>102</v>
      </c>
      <c r="D87" s="142"/>
      <c r="E87" s="143">
        <f>SUM(E88,E90,E92)</f>
        <v>1648965.6199999999</v>
      </c>
      <c r="F87" s="143">
        <f>SUM(F88,F90,F92)</f>
        <v>1652446.64</v>
      </c>
      <c r="G87" s="144">
        <f t="shared" si="1"/>
        <v>100.21110324907805</v>
      </c>
    </row>
    <row r="88" spans="1:7" ht="21.75" customHeight="1" x14ac:dyDescent="0.2">
      <c r="A88" s="137"/>
      <c r="B88" s="141" t="s">
        <v>247</v>
      </c>
      <c r="C88" s="141" t="s">
        <v>248</v>
      </c>
      <c r="D88" s="142"/>
      <c r="E88" s="143">
        <f>E89</f>
        <v>1352774.48</v>
      </c>
      <c r="F88" s="143">
        <f>F89</f>
        <v>1355775.07</v>
      </c>
      <c r="G88" s="144">
        <f t="shared" si="1"/>
        <v>100.22181006844542</v>
      </c>
    </row>
    <row r="89" spans="1:7" ht="21.75" customHeight="1" x14ac:dyDescent="0.2">
      <c r="A89" s="145"/>
      <c r="B89" s="146" t="s">
        <v>249</v>
      </c>
      <c r="C89" s="146" t="s">
        <v>104</v>
      </c>
      <c r="D89" s="147" t="s">
        <v>250</v>
      </c>
      <c r="E89" s="150">
        <v>1352774.48</v>
      </c>
      <c r="F89" s="149">
        <v>1355775.07</v>
      </c>
      <c r="G89" s="151">
        <f t="shared" si="1"/>
        <v>100.22181006844542</v>
      </c>
    </row>
    <row r="90" spans="1:7" ht="21.75" customHeight="1" x14ac:dyDescent="0.2">
      <c r="A90" s="137"/>
      <c r="B90" s="141" t="s">
        <v>251</v>
      </c>
      <c r="C90" s="141" t="s">
        <v>107</v>
      </c>
      <c r="D90" s="142"/>
      <c r="E90" s="143">
        <f>E91</f>
        <v>72962.39</v>
      </c>
      <c r="F90" s="143">
        <f>F91</f>
        <v>72962.39</v>
      </c>
      <c r="G90" s="144">
        <f t="shared" si="1"/>
        <v>100</v>
      </c>
    </row>
    <row r="91" spans="1:7" ht="21.75" customHeight="1" x14ac:dyDescent="0.2">
      <c r="A91" s="145"/>
      <c r="B91" s="146" t="s">
        <v>108</v>
      </c>
      <c r="C91" s="146" t="s">
        <v>107</v>
      </c>
      <c r="D91" s="147" t="s">
        <v>250</v>
      </c>
      <c r="E91" s="150">
        <v>72962.39</v>
      </c>
      <c r="F91" s="149">
        <v>72962.39</v>
      </c>
      <c r="G91" s="151">
        <f t="shared" si="1"/>
        <v>100</v>
      </c>
    </row>
    <row r="92" spans="1:7" ht="21.75" customHeight="1" x14ac:dyDescent="0.2">
      <c r="A92" s="137"/>
      <c r="B92" s="141" t="s">
        <v>252</v>
      </c>
      <c r="C92" s="141" t="s">
        <v>109</v>
      </c>
      <c r="D92" s="142"/>
      <c r="E92" s="143">
        <f>SUM(E93:E94)</f>
        <v>223228.75</v>
      </c>
      <c r="F92" s="143">
        <f>SUM(F93:F94)</f>
        <v>223709.18</v>
      </c>
      <c r="G92" s="144">
        <f t="shared" si="1"/>
        <v>100.21521869382863</v>
      </c>
    </row>
    <row r="93" spans="1:7" ht="21.75" customHeight="1" x14ac:dyDescent="0.2">
      <c r="A93" s="145"/>
      <c r="B93" s="146" t="s">
        <v>253</v>
      </c>
      <c r="C93" s="146" t="s">
        <v>110</v>
      </c>
      <c r="D93" s="147" t="s">
        <v>250</v>
      </c>
      <c r="E93" s="150">
        <v>223198.75</v>
      </c>
      <c r="F93" s="149">
        <v>223693.86</v>
      </c>
      <c r="G93" s="151">
        <f t="shared" si="1"/>
        <v>100.22182471900042</v>
      </c>
    </row>
    <row r="94" spans="1:7" ht="21.75" customHeight="1" x14ac:dyDescent="0.2">
      <c r="A94" s="145"/>
      <c r="B94" s="146" t="s">
        <v>254</v>
      </c>
      <c r="C94" s="146" t="s">
        <v>111</v>
      </c>
      <c r="D94" s="147" t="s">
        <v>250</v>
      </c>
      <c r="E94" s="150">
        <v>30</v>
      </c>
      <c r="F94" s="149">
        <v>15.32</v>
      </c>
      <c r="G94" s="151">
        <f t="shared" si="1"/>
        <v>51.06666666666667</v>
      </c>
    </row>
    <row r="95" spans="1:7" ht="21.75" customHeight="1" x14ac:dyDescent="0.2">
      <c r="A95" s="137"/>
      <c r="B95" s="141" t="s">
        <v>206</v>
      </c>
      <c r="C95" s="141" t="s">
        <v>112</v>
      </c>
      <c r="D95" s="142"/>
      <c r="E95" s="143">
        <f>SUM(E96,E98,E101)</f>
        <v>75234.38</v>
      </c>
      <c r="F95" s="143">
        <f>SUM(F96,F98,F101)</f>
        <v>72691.489999999991</v>
      </c>
      <c r="G95" s="144">
        <f t="shared" si="1"/>
        <v>96.620042592229765</v>
      </c>
    </row>
    <row r="96" spans="1:7" ht="21.75" customHeight="1" x14ac:dyDescent="0.2">
      <c r="A96" s="137"/>
      <c r="B96" s="141" t="s">
        <v>207</v>
      </c>
      <c r="C96" s="141" t="s">
        <v>113</v>
      </c>
      <c r="D96" s="142"/>
      <c r="E96" s="143">
        <f>E97</f>
        <v>71050.320000000007</v>
      </c>
      <c r="F96" s="143">
        <f>F97</f>
        <v>68743.929999999993</v>
      </c>
      <c r="G96" s="144">
        <f t="shared" si="1"/>
        <v>96.7538640220058</v>
      </c>
    </row>
    <row r="97" spans="1:7" ht="21.75" customHeight="1" x14ac:dyDescent="0.2">
      <c r="A97" s="145"/>
      <c r="B97" s="146" t="s">
        <v>116</v>
      </c>
      <c r="C97" s="146" t="s">
        <v>117</v>
      </c>
      <c r="D97" s="147" t="s">
        <v>250</v>
      </c>
      <c r="E97" s="150">
        <v>71050.320000000007</v>
      </c>
      <c r="F97" s="149">
        <v>68743.929999999993</v>
      </c>
      <c r="G97" s="151">
        <f t="shared" si="1"/>
        <v>96.7538640220058</v>
      </c>
    </row>
    <row r="98" spans="1:7" ht="21.75" customHeight="1" x14ac:dyDescent="0.2">
      <c r="A98" s="145"/>
      <c r="B98" s="141" t="s">
        <v>220</v>
      </c>
      <c r="C98" s="141" t="s">
        <v>130</v>
      </c>
      <c r="D98" s="147"/>
      <c r="E98" s="143">
        <f>E99+E100</f>
        <v>784.06</v>
      </c>
      <c r="F98" s="143">
        <f>F99+F100</f>
        <v>784.06</v>
      </c>
      <c r="G98" s="144">
        <f t="shared" si="1"/>
        <v>100</v>
      </c>
    </row>
    <row r="99" spans="1:7" ht="21.75" customHeight="1" x14ac:dyDescent="0.2">
      <c r="A99" s="145"/>
      <c r="B99" s="146">
        <v>3236</v>
      </c>
      <c r="C99" s="146" t="s">
        <v>139</v>
      </c>
      <c r="D99" s="147">
        <v>53082</v>
      </c>
      <c r="E99" s="150">
        <v>0</v>
      </c>
      <c r="F99" s="149">
        <v>0</v>
      </c>
      <c r="G99" s="151" t="e">
        <f t="shared" si="1"/>
        <v>#DIV/0!</v>
      </c>
    </row>
    <row r="100" spans="1:7" ht="21.75" customHeight="1" x14ac:dyDescent="0.2">
      <c r="A100" s="145"/>
      <c r="B100" s="146">
        <v>3237</v>
      </c>
      <c r="C100" s="146" t="s">
        <v>225</v>
      </c>
      <c r="D100" s="147">
        <v>53082</v>
      </c>
      <c r="E100" s="150">
        <v>784.06</v>
      </c>
      <c r="F100" s="149">
        <v>784.06</v>
      </c>
      <c r="G100" s="151">
        <f t="shared" si="1"/>
        <v>100</v>
      </c>
    </row>
    <row r="101" spans="1:7" ht="21.75" customHeight="1" x14ac:dyDescent="0.2">
      <c r="A101" s="137"/>
      <c r="B101" s="141" t="s">
        <v>228</v>
      </c>
      <c r="C101" s="141" t="s">
        <v>229</v>
      </c>
      <c r="D101" s="142"/>
      <c r="E101" s="143">
        <f>SUM(E102:E103)</f>
        <v>3400</v>
      </c>
      <c r="F101" s="143">
        <f>SUM(F102:F103)</f>
        <v>3163.5</v>
      </c>
      <c r="G101" s="144">
        <f t="shared" si="1"/>
        <v>93.044117647058826</v>
      </c>
    </row>
    <row r="102" spans="1:7" ht="21.75" customHeight="1" x14ac:dyDescent="0.2">
      <c r="A102" s="145"/>
      <c r="B102" s="146" t="s">
        <v>231</v>
      </c>
      <c r="C102" s="146" t="s">
        <v>151</v>
      </c>
      <c r="D102" s="147" t="s">
        <v>250</v>
      </c>
      <c r="E102" s="150">
        <v>2200</v>
      </c>
      <c r="F102" s="149">
        <v>2068.86</v>
      </c>
      <c r="G102" s="151">
        <f t="shared" si="1"/>
        <v>94.039090909090916</v>
      </c>
    </row>
    <row r="103" spans="1:7" ht="21.75" customHeight="1" x14ac:dyDescent="0.2">
      <c r="A103" s="145"/>
      <c r="B103" s="146" t="s">
        <v>255</v>
      </c>
      <c r="C103" s="146" t="s">
        <v>152</v>
      </c>
      <c r="D103" s="147" t="s">
        <v>250</v>
      </c>
      <c r="E103" s="150">
        <v>1200</v>
      </c>
      <c r="F103" s="165">
        <v>1094.6400000000001</v>
      </c>
      <c r="G103" s="151">
        <f t="shared" si="1"/>
        <v>91.220000000000013</v>
      </c>
    </row>
    <row r="104" spans="1:7" ht="21.75" customHeight="1" x14ac:dyDescent="0.2">
      <c r="A104" s="137"/>
      <c r="B104" s="141" t="s">
        <v>232</v>
      </c>
      <c r="C104" s="141" t="s">
        <v>154</v>
      </c>
      <c r="D104" s="142"/>
      <c r="E104" s="143">
        <f>E105</f>
        <v>800</v>
      </c>
      <c r="F104" s="143">
        <f>F105</f>
        <v>404.36</v>
      </c>
      <c r="G104" s="144">
        <f t="shared" si="1"/>
        <v>50.545000000000009</v>
      </c>
    </row>
    <row r="105" spans="1:7" ht="21.75" customHeight="1" x14ac:dyDescent="0.2">
      <c r="A105" s="137"/>
      <c r="B105" s="141" t="s">
        <v>233</v>
      </c>
      <c r="C105" s="141" t="s">
        <v>155</v>
      </c>
      <c r="D105" s="142"/>
      <c r="E105" s="143">
        <f>E106</f>
        <v>800</v>
      </c>
      <c r="F105" s="143">
        <f>F106</f>
        <v>404.36</v>
      </c>
      <c r="G105" s="144">
        <f t="shared" si="1"/>
        <v>50.545000000000009</v>
      </c>
    </row>
    <row r="106" spans="1:7" ht="21.75" customHeight="1" x14ac:dyDescent="0.2">
      <c r="A106" s="145"/>
      <c r="B106" s="156" t="s">
        <v>256</v>
      </c>
      <c r="C106" s="156" t="s">
        <v>158</v>
      </c>
      <c r="D106" s="157" t="s">
        <v>250</v>
      </c>
      <c r="E106" s="160">
        <v>800</v>
      </c>
      <c r="F106" s="159">
        <v>404.36</v>
      </c>
      <c r="G106" s="161">
        <f t="shared" si="1"/>
        <v>50.545000000000009</v>
      </c>
    </row>
    <row r="107" spans="1:7" ht="21.75" customHeight="1" x14ac:dyDescent="0.2">
      <c r="A107" s="123" t="s">
        <v>257</v>
      </c>
      <c r="B107" s="272" t="s">
        <v>258</v>
      </c>
      <c r="C107" s="273"/>
      <c r="D107" s="124"/>
      <c r="E107" s="125">
        <f>E109</f>
        <v>495932.69</v>
      </c>
      <c r="F107" s="125">
        <f>F109</f>
        <v>490362.07999999996</v>
      </c>
      <c r="G107" s="126">
        <f t="shared" si="1"/>
        <v>98.876740712534996</v>
      </c>
    </row>
    <row r="108" spans="1:7" ht="21.75" customHeight="1" x14ac:dyDescent="0.2">
      <c r="A108" s="127"/>
      <c r="B108" s="127"/>
      <c r="C108" s="128"/>
      <c r="D108" s="129"/>
      <c r="E108" s="130"/>
      <c r="F108" s="130"/>
      <c r="G108" s="132"/>
    </row>
    <row r="109" spans="1:7" ht="21.75" customHeight="1" x14ac:dyDescent="0.2">
      <c r="A109" s="133" t="s">
        <v>259</v>
      </c>
      <c r="B109" s="270" t="s">
        <v>260</v>
      </c>
      <c r="C109" s="271"/>
      <c r="D109" s="134"/>
      <c r="E109" s="135">
        <f>E110</f>
        <v>495932.69</v>
      </c>
      <c r="F109" s="135">
        <f>F110</f>
        <v>490362.07999999996</v>
      </c>
      <c r="G109" s="136">
        <f t="shared" ref="G109:G123" si="2">F109/E109*100</f>
        <v>98.876740712534996</v>
      </c>
    </row>
    <row r="110" spans="1:7" ht="21.75" customHeight="1" x14ac:dyDescent="0.2">
      <c r="A110" s="137"/>
      <c r="B110" s="137" t="s">
        <v>205</v>
      </c>
      <c r="C110" s="137" t="s">
        <v>101</v>
      </c>
      <c r="D110" s="138"/>
      <c r="E110" s="139">
        <f>E111+E120</f>
        <v>495932.69</v>
      </c>
      <c r="F110" s="139">
        <f>F111+F120</f>
        <v>490362.07999999996</v>
      </c>
      <c r="G110" s="140">
        <f t="shared" si="2"/>
        <v>98.876740712534996</v>
      </c>
    </row>
    <row r="111" spans="1:7" ht="21.75" customHeight="1" x14ac:dyDescent="0.2">
      <c r="A111" s="137"/>
      <c r="B111" s="141" t="s">
        <v>206</v>
      </c>
      <c r="C111" s="141" t="s">
        <v>112</v>
      </c>
      <c r="D111" s="142"/>
      <c r="E111" s="143">
        <f>SUM(E112,E115,E118)</f>
        <v>103431.86</v>
      </c>
      <c r="F111" s="143">
        <f>SUM(F112,F115,F118)</f>
        <v>98141.04</v>
      </c>
      <c r="G111" s="144">
        <f t="shared" si="2"/>
        <v>94.884728941353274</v>
      </c>
    </row>
    <row r="112" spans="1:7" ht="21.75" customHeight="1" x14ac:dyDescent="0.2">
      <c r="A112" s="137"/>
      <c r="B112" s="141" t="s">
        <v>213</v>
      </c>
      <c r="C112" s="141" t="s">
        <v>214</v>
      </c>
      <c r="D112" s="142"/>
      <c r="E112" s="143">
        <f>SUM(E113:E114)</f>
        <v>87948.34</v>
      </c>
      <c r="F112" s="143">
        <f>SUM(F113:F114)</f>
        <v>85203.36</v>
      </c>
      <c r="G112" s="144">
        <f t="shared" si="2"/>
        <v>96.87887230162616</v>
      </c>
    </row>
    <row r="113" spans="1:7" ht="21.75" customHeight="1" x14ac:dyDescent="0.2">
      <c r="A113" s="145"/>
      <c r="B113" s="146" t="s">
        <v>124</v>
      </c>
      <c r="C113" s="146" t="s">
        <v>125</v>
      </c>
      <c r="D113" s="147" t="s">
        <v>261</v>
      </c>
      <c r="E113" s="150">
        <v>86000</v>
      </c>
      <c r="F113" s="149">
        <v>83285.509999999995</v>
      </c>
      <c r="G113" s="151">
        <f t="shared" si="2"/>
        <v>96.843616279069764</v>
      </c>
    </row>
    <row r="114" spans="1:7" ht="21.75" customHeight="1" x14ac:dyDescent="0.2">
      <c r="A114" s="145"/>
      <c r="B114" s="146" t="s">
        <v>218</v>
      </c>
      <c r="C114" s="146" t="s">
        <v>128</v>
      </c>
      <c r="D114" s="147" t="s">
        <v>261</v>
      </c>
      <c r="E114" s="150">
        <v>1948.34</v>
      </c>
      <c r="F114" s="149">
        <v>1917.85</v>
      </c>
      <c r="G114" s="151">
        <f t="shared" si="2"/>
        <v>98.435078066456569</v>
      </c>
    </row>
    <row r="115" spans="1:7" ht="21.75" customHeight="1" x14ac:dyDescent="0.2">
      <c r="A115" s="137"/>
      <c r="B115" s="141" t="s">
        <v>220</v>
      </c>
      <c r="C115" s="141" t="s">
        <v>130</v>
      </c>
      <c r="D115" s="142"/>
      <c r="E115" s="143">
        <f>SUM(E116:E117)</f>
        <v>11592.57</v>
      </c>
      <c r="F115" s="143">
        <f>SUM(F116:F117)</f>
        <v>8813.4800000000014</v>
      </c>
      <c r="G115" s="144">
        <f t="shared" si="2"/>
        <v>76.026972448732266</v>
      </c>
    </row>
    <row r="116" spans="1:7" ht="21.75" customHeight="1" x14ac:dyDescent="0.2">
      <c r="A116" s="145"/>
      <c r="B116" s="146" t="s">
        <v>133</v>
      </c>
      <c r="C116" s="146" t="s">
        <v>134</v>
      </c>
      <c r="D116" s="147" t="s">
        <v>261</v>
      </c>
      <c r="E116" s="150">
        <v>11045.67</v>
      </c>
      <c r="F116" s="149">
        <v>8500.8700000000008</v>
      </c>
      <c r="G116" s="151">
        <f t="shared" si="2"/>
        <v>76.961107836826557</v>
      </c>
    </row>
    <row r="117" spans="1:7" ht="21.75" customHeight="1" x14ac:dyDescent="0.2">
      <c r="A117" s="145"/>
      <c r="B117" s="146" t="s">
        <v>143</v>
      </c>
      <c r="C117" s="146" t="s">
        <v>144</v>
      </c>
      <c r="D117" s="147" t="s">
        <v>261</v>
      </c>
      <c r="E117" s="150">
        <v>546.9</v>
      </c>
      <c r="F117" s="149">
        <v>312.61</v>
      </c>
      <c r="G117" s="151">
        <f t="shared" si="2"/>
        <v>57.160358383616753</v>
      </c>
    </row>
    <row r="118" spans="1:7" ht="21.75" customHeight="1" x14ac:dyDescent="0.2">
      <c r="A118" s="137"/>
      <c r="B118" s="141" t="s">
        <v>228</v>
      </c>
      <c r="C118" s="141" t="s">
        <v>229</v>
      </c>
      <c r="D118" s="142"/>
      <c r="E118" s="143">
        <f>E119</f>
        <v>3890.95</v>
      </c>
      <c r="F118" s="143">
        <f>F119</f>
        <v>4124.2</v>
      </c>
      <c r="G118" s="144">
        <f t="shared" si="2"/>
        <v>105.99467996247702</v>
      </c>
    </row>
    <row r="119" spans="1:7" ht="21.75" customHeight="1" x14ac:dyDescent="0.2">
      <c r="A119" s="137"/>
      <c r="B119" s="156">
        <v>3292</v>
      </c>
      <c r="C119" s="146" t="s">
        <v>147</v>
      </c>
      <c r="D119" s="157">
        <v>11001</v>
      </c>
      <c r="E119" s="158">
        <v>3890.95</v>
      </c>
      <c r="F119" s="158">
        <v>4124.2</v>
      </c>
      <c r="G119" s="161">
        <f t="shared" si="2"/>
        <v>105.99467996247702</v>
      </c>
    </row>
    <row r="120" spans="1:7" ht="21.75" customHeight="1" x14ac:dyDescent="0.2">
      <c r="A120" s="137"/>
      <c r="B120" s="162">
        <v>37</v>
      </c>
      <c r="C120" s="189" t="s">
        <v>237</v>
      </c>
      <c r="D120" s="163"/>
      <c r="E120" s="164">
        <f>E121</f>
        <v>392500.83</v>
      </c>
      <c r="F120" s="164">
        <f>F121</f>
        <v>392221.04</v>
      </c>
      <c r="G120" s="166">
        <f t="shared" si="2"/>
        <v>99.928716074307403</v>
      </c>
    </row>
    <row r="121" spans="1:7" ht="21.75" customHeight="1" x14ac:dyDescent="0.2">
      <c r="A121" s="137"/>
      <c r="B121" s="162">
        <v>372</v>
      </c>
      <c r="C121" s="189" t="s">
        <v>163</v>
      </c>
      <c r="D121" s="163"/>
      <c r="E121" s="164">
        <f>E122</f>
        <v>392500.83</v>
      </c>
      <c r="F121" s="164">
        <f>F122</f>
        <v>392221.04</v>
      </c>
      <c r="G121" s="166">
        <f t="shared" si="2"/>
        <v>99.928716074307403</v>
      </c>
    </row>
    <row r="122" spans="1:7" ht="21.75" customHeight="1" x14ac:dyDescent="0.2">
      <c r="A122" s="145"/>
      <c r="B122" s="156">
        <v>3722</v>
      </c>
      <c r="C122" s="190" t="s">
        <v>164</v>
      </c>
      <c r="D122" s="157" t="s">
        <v>261</v>
      </c>
      <c r="E122" s="160">
        <v>392500.83</v>
      </c>
      <c r="F122" s="159">
        <v>392221.04</v>
      </c>
      <c r="G122" s="161">
        <f t="shared" si="2"/>
        <v>99.928716074307403</v>
      </c>
    </row>
    <row r="123" spans="1:7" ht="21.75" customHeight="1" x14ac:dyDescent="0.2">
      <c r="A123" s="123" t="s">
        <v>262</v>
      </c>
      <c r="B123" s="272" t="s">
        <v>263</v>
      </c>
      <c r="C123" s="273"/>
      <c r="D123" s="124"/>
      <c r="E123" s="125">
        <f>SUM(E125,E149,E162,E187,E221,E267,E280,E298,E304,E320,E344,E349,E355,E363,E375,E380)</f>
        <v>282812.44</v>
      </c>
      <c r="F123" s="125">
        <f>SUM(F125,F149,F162,F187,F221,F267,F280,F298,F304,F320,F344,F349,F355,F363,F375,F380)</f>
        <v>267533.16000000003</v>
      </c>
      <c r="G123" s="126">
        <f t="shared" si="2"/>
        <v>94.597380511267488</v>
      </c>
    </row>
    <row r="124" spans="1:7" ht="21.75" customHeight="1" x14ac:dyDescent="0.2">
      <c r="A124" s="127"/>
      <c r="B124" s="127"/>
      <c r="C124" s="128"/>
      <c r="D124" s="129"/>
      <c r="E124" s="131"/>
      <c r="F124" s="131"/>
      <c r="G124" s="132"/>
    </row>
    <row r="125" spans="1:7" ht="21.75" customHeight="1" x14ac:dyDescent="0.2">
      <c r="A125" s="133" t="s">
        <v>264</v>
      </c>
      <c r="B125" s="270" t="s">
        <v>265</v>
      </c>
      <c r="C125" s="271"/>
      <c r="D125" s="134"/>
      <c r="E125" s="135">
        <f>E126</f>
        <v>6242</v>
      </c>
      <c r="F125" s="135">
        <f>F126</f>
        <v>5899.68</v>
      </c>
      <c r="G125" s="136">
        <f t="shared" ref="G125:G160" si="3">F125/E125*100</f>
        <v>94.515860301185512</v>
      </c>
    </row>
    <row r="126" spans="1:7" ht="21.75" customHeight="1" x14ac:dyDescent="0.2">
      <c r="A126" s="137"/>
      <c r="B126" s="137" t="s">
        <v>205</v>
      </c>
      <c r="C126" s="137" t="s">
        <v>101</v>
      </c>
      <c r="D126" s="138"/>
      <c r="E126" s="139">
        <f>SUM(E127,E134,E143,E146)</f>
        <v>6242</v>
      </c>
      <c r="F126" s="139">
        <f>SUM(F127,F134,F143,F146)</f>
        <v>5899.68</v>
      </c>
      <c r="G126" s="140">
        <f t="shared" si="3"/>
        <v>94.515860301185512</v>
      </c>
    </row>
    <row r="127" spans="1:7" ht="21.75" customHeight="1" x14ac:dyDescent="0.2">
      <c r="A127" s="137"/>
      <c r="B127" s="162" t="s">
        <v>246</v>
      </c>
      <c r="C127" s="162" t="s">
        <v>102</v>
      </c>
      <c r="D127" s="163"/>
      <c r="E127" s="164">
        <f>SUM(E128,E130,E132)</f>
        <v>160</v>
      </c>
      <c r="F127" s="164">
        <f>SUM(F128,F130,F132)</f>
        <v>160</v>
      </c>
      <c r="G127" s="166">
        <f t="shared" si="3"/>
        <v>100</v>
      </c>
    </row>
    <row r="128" spans="1:7" ht="21.75" customHeight="1" x14ac:dyDescent="0.2">
      <c r="A128" s="137"/>
      <c r="B128" s="141" t="s">
        <v>247</v>
      </c>
      <c r="C128" s="141" t="s">
        <v>248</v>
      </c>
      <c r="D128" s="142"/>
      <c r="E128" s="143">
        <f>E129</f>
        <v>137.34</v>
      </c>
      <c r="F128" s="143">
        <f>F129</f>
        <v>137.34</v>
      </c>
      <c r="G128" s="144">
        <f t="shared" si="3"/>
        <v>100</v>
      </c>
    </row>
    <row r="129" spans="1:7" ht="21.75" customHeight="1" x14ac:dyDescent="0.2">
      <c r="A129" s="145"/>
      <c r="B129" s="146" t="s">
        <v>249</v>
      </c>
      <c r="C129" s="146" t="s">
        <v>104</v>
      </c>
      <c r="D129" s="147">
        <v>58300</v>
      </c>
      <c r="E129" s="150">
        <v>137.34</v>
      </c>
      <c r="F129" s="149">
        <v>137.34</v>
      </c>
      <c r="G129" s="151">
        <f t="shared" si="3"/>
        <v>100</v>
      </c>
    </row>
    <row r="130" spans="1:7" ht="21.75" customHeight="1" x14ac:dyDescent="0.2">
      <c r="A130" s="137"/>
      <c r="B130" s="141" t="s">
        <v>251</v>
      </c>
      <c r="C130" s="141" t="s">
        <v>107</v>
      </c>
      <c r="D130" s="142"/>
      <c r="E130" s="143">
        <f>E131</f>
        <v>0</v>
      </c>
      <c r="F130" s="143">
        <f>F131</f>
        <v>0</v>
      </c>
      <c r="G130" s="144" t="e">
        <f t="shared" si="3"/>
        <v>#DIV/0!</v>
      </c>
    </row>
    <row r="131" spans="1:7" ht="21.75" customHeight="1" x14ac:dyDescent="0.2">
      <c r="A131" s="145"/>
      <c r="B131" s="146" t="s">
        <v>108</v>
      </c>
      <c r="C131" s="146" t="s">
        <v>107</v>
      </c>
      <c r="D131" s="147">
        <v>58300</v>
      </c>
      <c r="E131" s="150">
        <v>0</v>
      </c>
      <c r="F131" s="149">
        <v>0</v>
      </c>
      <c r="G131" s="151" t="e">
        <f t="shared" si="3"/>
        <v>#DIV/0!</v>
      </c>
    </row>
    <row r="132" spans="1:7" ht="21.75" customHeight="1" x14ac:dyDescent="0.2">
      <c r="A132" s="137"/>
      <c r="B132" s="141" t="s">
        <v>252</v>
      </c>
      <c r="C132" s="141" t="s">
        <v>109</v>
      </c>
      <c r="D132" s="142"/>
      <c r="E132" s="143">
        <f>E133</f>
        <v>22.66</v>
      </c>
      <c r="F132" s="143">
        <f>F133</f>
        <v>22.66</v>
      </c>
      <c r="G132" s="144">
        <f t="shared" si="3"/>
        <v>100</v>
      </c>
    </row>
    <row r="133" spans="1:7" ht="21.75" customHeight="1" x14ac:dyDescent="0.2">
      <c r="A133" s="145"/>
      <c r="B133" s="146" t="s">
        <v>253</v>
      </c>
      <c r="C133" s="146" t="s">
        <v>266</v>
      </c>
      <c r="D133" s="147">
        <v>58300</v>
      </c>
      <c r="E133" s="150">
        <v>22.66</v>
      </c>
      <c r="F133" s="149">
        <v>22.66</v>
      </c>
      <c r="G133" s="151">
        <f t="shared" si="3"/>
        <v>100</v>
      </c>
    </row>
    <row r="134" spans="1:7" ht="21.75" customHeight="1" x14ac:dyDescent="0.2">
      <c r="A134" s="137"/>
      <c r="B134" s="141" t="s">
        <v>206</v>
      </c>
      <c r="C134" s="141" t="s">
        <v>112</v>
      </c>
      <c r="D134" s="142"/>
      <c r="E134" s="143">
        <f>SUM(E135,E137,E140)</f>
        <v>6082</v>
      </c>
      <c r="F134" s="143">
        <f>SUM(F135,F137,F140)</f>
        <v>5739.68</v>
      </c>
      <c r="G134" s="144">
        <f t="shared" si="3"/>
        <v>94.371588293324578</v>
      </c>
    </row>
    <row r="135" spans="1:7" ht="21.75" customHeight="1" x14ac:dyDescent="0.2">
      <c r="A135" s="137"/>
      <c r="B135" s="141" t="s">
        <v>207</v>
      </c>
      <c r="C135" s="141" t="s">
        <v>113</v>
      </c>
      <c r="D135" s="142"/>
      <c r="E135" s="143">
        <f>E136</f>
        <v>0</v>
      </c>
      <c r="F135" s="143">
        <f>F136</f>
        <v>0</v>
      </c>
      <c r="G135" s="144" t="e">
        <f t="shared" si="3"/>
        <v>#DIV/0!</v>
      </c>
    </row>
    <row r="136" spans="1:7" ht="21.75" customHeight="1" x14ac:dyDescent="0.2">
      <c r="A136" s="145"/>
      <c r="B136" s="146">
        <v>3212</v>
      </c>
      <c r="C136" s="190" t="s">
        <v>117</v>
      </c>
      <c r="D136" s="147" t="s">
        <v>267</v>
      </c>
      <c r="E136" s="150">
        <v>0</v>
      </c>
      <c r="F136" s="149"/>
      <c r="G136" s="151" t="e">
        <f t="shared" si="3"/>
        <v>#DIV/0!</v>
      </c>
    </row>
    <row r="137" spans="1:7" ht="21.75" customHeight="1" x14ac:dyDescent="0.2">
      <c r="A137" s="137"/>
      <c r="B137" s="141" t="s">
        <v>213</v>
      </c>
      <c r="C137" s="141" t="s">
        <v>214</v>
      </c>
      <c r="D137" s="142"/>
      <c r="E137" s="143">
        <f>SUM(E138:E139)</f>
        <v>472</v>
      </c>
      <c r="F137" s="143">
        <f>SUM(F138:F139)</f>
        <v>472</v>
      </c>
      <c r="G137" s="144">
        <f t="shared" si="3"/>
        <v>100</v>
      </c>
    </row>
    <row r="138" spans="1:7" ht="21.75" customHeight="1" x14ac:dyDescent="0.2">
      <c r="A138" s="145"/>
      <c r="B138" s="146" t="s">
        <v>121</v>
      </c>
      <c r="C138" s="146" t="s">
        <v>122</v>
      </c>
      <c r="D138" s="147" t="s">
        <v>261</v>
      </c>
      <c r="E138" s="150">
        <v>0</v>
      </c>
      <c r="F138" s="149">
        <v>0</v>
      </c>
      <c r="G138" s="151" t="e">
        <f t="shared" si="3"/>
        <v>#DIV/0!</v>
      </c>
    </row>
    <row r="139" spans="1:7" ht="21.75" customHeight="1" x14ac:dyDescent="0.2">
      <c r="A139" s="145"/>
      <c r="B139" s="146" t="s">
        <v>215</v>
      </c>
      <c r="C139" s="146" t="s">
        <v>123</v>
      </c>
      <c r="D139" s="147">
        <v>58300</v>
      </c>
      <c r="E139" s="150">
        <v>472</v>
      </c>
      <c r="F139" s="149">
        <v>472</v>
      </c>
      <c r="G139" s="151">
        <f t="shared" si="3"/>
        <v>100</v>
      </c>
    </row>
    <row r="140" spans="1:7" ht="21.75" customHeight="1" x14ac:dyDescent="0.2">
      <c r="A140" s="145"/>
      <c r="B140" s="141" t="s">
        <v>220</v>
      </c>
      <c r="C140" s="141" t="s">
        <v>130</v>
      </c>
      <c r="D140" s="147"/>
      <c r="E140" s="143">
        <f>E141+E142</f>
        <v>5610</v>
      </c>
      <c r="F140" s="143">
        <f>F141+F142</f>
        <v>5267.68</v>
      </c>
      <c r="G140" s="144">
        <f t="shared" si="3"/>
        <v>93.898039215686282</v>
      </c>
    </row>
    <row r="141" spans="1:7" ht="21.75" customHeight="1" x14ac:dyDescent="0.2">
      <c r="A141" s="145"/>
      <c r="B141" s="146" t="s">
        <v>131</v>
      </c>
      <c r="C141" s="146" t="s">
        <v>132</v>
      </c>
      <c r="D141" s="147">
        <v>58300</v>
      </c>
      <c r="E141" s="150">
        <v>5500</v>
      </c>
      <c r="F141" s="149">
        <v>5157.68</v>
      </c>
      <c r="G141" s="151">
        <f t="shared" si="3"/>
        <v>93.77600000000001</v>
      </c>
    </row>
    <row r="142" spans="1:7" ht="21.75" customHeight="1" x14ac:dyDescent="0.2">
      <c r="A142" s="145"/>
      <c r="B142" s="146">
        <v>3237</v>
      </c>
      <c r="C142" s="146" t="s">
        <v>140</v>
      </c>
      <c r="D142" s="147">
        <v>58300</v>
      </c>
      <c r="E142" s="150">
        <v>110</v>
      </c>
      <c r="F142" s="149">
        <v>110</v>
      </c>
      <c r="G142" s="151">
        <f t="shared" si="3"/>
        <v>100</v>
      </c>
    </row>
    <row r="143" spans="1:7" ht="21.75" customHeight="1" x14ac:dyDescent="0.2">
      <c r="A143" s="137"/>
      <c r="B143" s="141" t="s">
        <v>268</v>
      </c>
      <c r="C143" s="141" t="s">
        <v>159</v>
      </c>
      <c r="D143" s="142"/>
      <c r="E143" s="143">
        <f>E144</f>
        <v>0</v>
      </c>
      <c r="F143" s="143">
        <f>F144</f>
        <v>0</v>
      </c>
      <c r="G143" s="144" t="e">
        <f t="shared" si="3"/>
        <v>#DIV/0!</v>
      </c>
    </row>
    <row r="144" spans="1:7" ht="21.75" customHeight="1" x14ac:dyDescent="0.2">
      <c r="A144" s="137"/>
      <c r="B144" s="141" t="s">
        <v>269</v>
      </c>
      <c r="C144" s="141" t="s">
        <v>270</v>
      </c>
      <c r="D144" s="142"/>
      <c r="E144" s="143">
        <f>E145</f>
        <v>0</v>
      </c>
      <c r="F144" s="143">
        <f>F145</f>
        <v>0</v>
      </c>
      <c r="G144" s="144" t="e">
        <f t="shared" si="3"/>
        <v>#DIV/0!</v>
      </c>
    </row>
    <row r="145" spans="1:7" ht="21.75" customHeight="1" x14ac:dyDescent="0.2">
      <c r="A145" s="145"/>
      <c r="B145" s="146" t="s">
        <v>271</v>
      </c>
      <c r="C145" s="146" t="s">
        <v>272</v>
      </c>
      <c r="D145" s="147" t="s">
        <v>261</v>
      </c>
      <c r="E145" s="150">
        <v>0</v>
      </c>
      <c r="F145" s="149">
        <v>0</v>
      </c>
      <c r="G145" s="151" t="e">
        <f t="shared" si="3"/>
        <v>#DIV/0!</v>
      </c>
    </row>
    <row r="146" spans="1:7" ht="21.75" customHeight="1" x14ac:dyDescent="0.2">
      <c r="A146" s="137"/>
      <c r="B146" s="141" t="s">
        <v>273</v>
      </c>
      <c r="C146" s="141" t="s">
        <v>165</v>
      </c>
      <c r="D146" s="142"/>
      <c r="E146" s="143">
        <f>E147</f>
        <v>0</v>
      </c>
      <c r="F146" s="143">
        <f>F147</f>
        <v>0</v>
      </c>
      <c r="G146" s="144" t="e">
        <f t="shared" si="3"/>
        <v>#DIV/0!</v>
      </c>
    </row>
    <row r="147" spans="1:7" ht="21.75" customHeight="1" x14ac:dyDescent="0.2">
      <c r="A147" s="137"/>
      <c r="B147" s="141" t="s">
        <v>274</v>
      </c>
      <c r="C147" s="141" t="s">
        <v>166</v>
      </c>
      <c r="D147" s="142"/>
      <c r="E147" s="143">
        <f>E148</f>
        <v>0</v>
      </c>
      <c r="F147" s="143">
        <f>F148</f>
        <v>0</v>
      </c>
      <c r="G147" s="144" t="e">
        <f t="shared" si="3"/>
        <v>#DIV/0!</v>
      </c>
    </row>
    <row r="148" spans="1:7" ht="21.75" customHeight="1" x14ac:dyDescent="0.2">
      <c r="A148" s="145"/>
      <c r="B148" s="156" t="s">
        <v>275</v>
      </c>
      <c r="C148" s="156" t="s">
        <v>167</v>
      </c>
      <c r="D148" s="157" t="s">
        <v>261</v>
      </c>
      <c r="E148" s="160">
        <v>0</v>
      </c>
      <c r="F148" s="159">
        <v>0</v>
      </c>
      <c r="G148" s="161" t="e">
        <f t="shared" si="3"/>
        <v>#DIV/0!</v>
      </c>
    </row>
    <row r="149" spans="1:7" ht="21.75" customHeight="1" x14ac:dyDescent="0.2">
      <c r="A149" s="133" t="s">
        <v>276</v>
      </c>
      <c r="B149" s="270" t="s">
        <v>277</v>
      </c>
      <c r="C149" s="271"/>
      <c r="D149" s="134"/>
      <c r="E149" s="135">
        <f>E150</f>
        <v>11969.130000000001</v>
      </c>
      <c r="F149" s="135">
        <f>F150</f>
        <v>11736.99</v>
      </c>
      <c r="G149" s="136">
        <f t="shared" si="3"/>
        <v>98.060510663682308</v>
      </c>
    </row>
    <row r="150" spans="1:7" ht="21.75" customHeight="1" x14ac:dyDescent="0.2">
      <c r="A150" s="145"/>
      <c r="B150" s="137" t="s">
        <v>205</v>
      </c>
      <c r="C150" s="137" t="s">
        <v>101</v>
      </c>
      <c r="D150" s="138"/>
      <c r="E150" s="139">
        <f>SUM(E151,E158)</f>
        <v>11969.130000000001</v>
      </c>
      <c r="F150" s="139">
        <f>SUM(F151,F158)</f>
        <v>11736.99</v>
      </c>
      <c r="G150" s="140">
        <f t="shared" si="3"/>
        <v>98.060510663682308</v>
      </c>
    </row>
    <row r="151" spans="1:7" ht="21.75" customHeight="1" x14ac:dyDescent="0.2">
      <c r="A151" s="145"/>
      <c r="B151" s="162" t="s">
        <v>246</v>
      </c>
      <c r="C151" s="162" t="s">
        <v>102</v>
      </c>
      <c r="D151" s="163"/>
      <c r="E151" s="164">
        <f>SUM(E152,E154,E156)</f>
        <v>11061.34</v>
      </c>
      <c r="F151" s="164">
        <f>SUM(F152,F154,F156)</f>
        <v>11061.34</v>
      </c>
      <c r="G151" s="166">
        <f t="shared" si="3"/>
        <v>100</v>
      </c>
    </row>
    <row r="152" spans="1:7" ht="21.75" customHeight="1" x14ac:dyDescent="0.2">
      <c r="A152" s="145"/>
      <c r="B152" s="141" t="s">
        <v>247</v>
      </c>
      <c r="C152" s="141" t="s">
        <v>248</v>
      </c>
      <c r="D152" s="142"/>
      <c r="E152" s="143">
        <f>E153</f>
        <v>8006.22</v>
      </c>
      <c r="F152" s="143">
        <f>F153</f>
        <v>8006.22</v>
      </c>
      <c r="G152" s="144">
        <f t="shared" si="3"/>
        <v>100</v>
      </c>
    </row>
    <row r="153" spans="1:7" ht="21.75" customHeight="1" x14ac:dyDescent="0.2">
      <c r="A153" s="145"/>
      <c r="B153" s="146" t="s">
        <v>249</v>
      </c>
      <c r="C153" s="146" t="s">
        <v>104</v>
      </c>
      <c r="D153" s="147" t="s">
        <v>261</v>
      </c>
      <c r="E153" s="150">
        <v>8006.22</v>
      </c>
      <c r="F153" s="149">
        <v>8006.22</v>
      </c>
      <c r="G153" s="151">
        <f t="shared" si="3"/>
        <v>100</v>
      </c>
    </row>
    <row r="154" spans="1:7" ht="21.75" customHeight="1" x14ac:dyDescent="0.2">
      <c r="A154" s="145"/>
      <c r="B154" s="141" t="s">
        <v>251</v>
      </c>
      <c r="C154" s="141" t="s">
        <v>107</v>
      </c>
      <c r="D154" s="142"/>
      <c r="E154" s="143">
        <f>E155</f>
        <v>1734.1</v>
      </c>
      <c r="F154" s="143">
        <f>F155</f>
        <v>1734.1</v>
      </c>
      <c r="G154" s="144">
        <f t="shared" si="3"/>
        <v>100</v>
      </c>
    </row>
    <row r="155" spans="1:7" ht="21.75" customHeight="1" x14ac:dyDescent="0.2">
      <c r="A155" s="145"/>
      <c r="B155" s="146" t="s">
        <v>108</v>
      </c>
      <c r="C155" s="146" t="s">
        <v>107</v>
      </c>
      <c r="D155" s="147" t="s">
        <v>261</v>
      </c>
      <c r="E155" s="150">
        <v>1734.1</v>
      </c>
      <c r="F155" s="149">
        <v>1734.1</v>
      </c>
      <c r="G155" s="151">
        <f t="shared" si="3"/>
        <v>100</v>
      </c>
    </row>
    <row r="156" spans="1:7" ht="21.75" customHeight="1" x14ac:dyDescent="0.2">
      <c r="A156" s="145"/>
      <c r="B156" s="141" t="s">
        <v>252</v>
      </c>
      <c r="C156" s="141" t="s">
        <v>109</v>
      </c>
      <c r="D156" s="142"/>
      <c r="E156" s="143">
        <f>E157</f>
        <v>1321.02</v>
      </c>
      <c r="F156" s="143">
        <f>F157</f>
        <v>1321.02</v>
      </c>
      <c r="G156" s="144">
        <f t="shared" si="3"/>
        <v>100</v>
      </c>
    </row>
    <row r="157" spans="1:7" ht="21.75" customHeight="1" x14ac:dyDescent="0.2">
      <c r="A157" s="145"/>
      <c r="B157" s="146" t="s">
        <v>253</v>
      </c>
      <c r="C157" s="146" t="s">
        <v>266</v>
      </c>
      <c r="D157" s="147" t="s">
        <v>261</v>
      </c>
      <c r="E157" s="150">
        <v>1321.02</v>
      </c>
      <c r="F157" s="149">
        <v>1321.02</v>
      </c>
      <c r="G157" s="151">
        <f t="shared" si="3"/>
        <v>100</v>
      </c>
    </row>
    <row r="158" spans="1:7" ht="21.75" customHeight="1" x14ac:dyDescent="0.2">
      <c r="A158" s="145"/>
      <c r="B158" s="141" t="s">
        <v>206</v>
      </c>
      <c r="C158" s="141" t="s">
        <v>112</v>
      </c>
      <c r="D158" s="142"/>
      <c r="E158" s="143">
        <f>E159</f>
        <v>907.79</v>
      </c>
      <c r="F158" s="143">
        <f>F159</f>
        <v>675.65</v>
      </c>
      <c r="G158" s="144">
        <f t="shared" si="3"/>
        <v>74.428006477268966</v>
      </c>
    </row>
    <row r="159" spans="1:7" ht="21.75" customHeight="1" x14ac:dyDescent="0.2">
      <c r="A159" s="145"/>
      <c r="B159" s="141" t="s">
        <v>207</v>
      </c>
      <c r="C159" s="141" t="s">
        <v>113</v>
      </c>
      <c r="D159" s="142"/>
      <c r="E159" s="143">
        <f>E161+E160</f>
        <v>907.79</v>
      </c>
      <c r="F159" s="143">
        <f>F161+F160</f>
        <v>675.65</v>
      </c>
      <c r="G159" s="144">
        <f t="shared" si="3"/>
        <v>74.428006477268966</v>
      </c>
    </row>
    <row r="160" spans="1:7" ht="21.75" customHeight="1" x14ac:dyDescent="0.2">
      <c r="A160" s="145"/>
      <c r="B160" s="146" t="s">
        <v>114</v>
      </c>
      <c r="C160" s="146" t="s">
        <v>115</v>
      </c>
      <c r="D160" s="147">
        <v>11001</v>
      </c>
      <c r="E160" s="148">
        <v>59.15</v>
      </c>
      <c r="F160" s="148">
        <v>26.55</v>
      </c>
      <c r="G160" s="151">
        <f t="shared" si="3"/>
        <v>44.88588334742181</v>
      </c>
    </row>
    <row r="161" spans="1:7" ht="21.75" customHeight="1" x14ac:dyDescent="0.2">
      <c r="A161" s="145"/>
      <c r="B161" s="146">
        <v>3212</v>
      </c>
      <c r="C161" s="190" t="s">
        <v>117</v>
      </c>
      <c r="D161" s="147" t="s">
        <v>267</v>
      </c>
      <c r="E161" s="150">
        <v>848.64</v>
      </c>
      <c r="F161" s="149">
        <v>649.1</v>
      </c>
      <c r="G161" s="151">
        <f t="shared" ref="G161:G231" si="4">F161/E161*100</f>
        <v>76.487085218702873</v>
      </c>
    </row>
    <row r="162" spans="1:7" ht="21.75" customHeight="1" x14ac:dyDescent="0.2">
      <c r="A162" s="133" t="s">
        <v>278</v>
      </c>
      <c r="B162" s="283" t="s">
        <v>279</v>
      </c>
      <c r="C162" s="284"/>
      <c r="D162" s="134"/>
      <c r="E162" s="135">
        <f>SUM(E163,E183)</f>
        <v>6620</v>
      </c>
      <c r="F162" s="135">
        <f>SUM(F163,F183)</f>
        <v>6761.34</v>
      </c>
      <c r="G162" s="136">
        <f t="shared" si="4"/>
        <v>102.13504531722054</v>
      </c>
    </row>
    <row r="163" spans="1:7" ht="21.75" customHeight="1" x14ac:dyDescent="0.2">
      <c r="A163" s="137"/>
      <c r="B163" s="137" t="s">
        <v>205</v>
      </c>
      <c r="C163" s="137" t="s">
        <v>101</v>
      </c>
      <c r="D163" s="138"/>
      <c r="E163" s="139">
        <f>SUM(E164,E180)</f>
        <v>6620</v>
      </c>
      <c r="F163" s="139">
        <f>SUM(F164,F180)</f>
        <v>6761.34</v>
      </c>
      <c r="G163" s="140">
        <f t="shared" si="4"/>
        <v>102.13504531722054</v>
      </c>
    </row>
    <row r="164" spans="1:7" ht="21.75" customHeight="1" x14ac:dyDescent="0.2">
      <c r="A164" s="137"/>
      <c r="B164" s="141" t="s">
        <v>206</v>
      </c>
      <c r="C164" s="141" t="s">
        <v>112</v>
      </c>
      <c r="D164" s="142"/>
      <c r="E164" s="143">
        <f>SUM(E165,E173)</f>
        <v>6470</v>
      </c>
      <c r="F164" s="143">
        <f>SUM(F165,F173)</f>
        <v>6643.89</v>
      </c>
      <c r="G164" s="144">
        <f t="shared" si="4"/>
        <v>102.68763523956723</v>
      </c>
    </row>
    <row r="165" spans="1:7" ht="21.75" customHeight="1" x14ac:dyDescent="0.2">
      <c r="A165" s="137"/>
      <c r="B165" s="141" t="s">
        <v>213</v>
      </c>
      <c r="C165" s="141" t="s">
        <v>214</v>
      </c>
      <c r="D165" s="142"/>
      <c r="E165" s="143">
        <f>SUM(E166:E172)</f>
        <v>4299.38</v>
      </c>
      <c r="F165" s="143">
        <f>SUM(F166:F172)</f>
        <v>4105.41</v>
      </c>
      <c r="G165" s="144">
        <f t="shared" si="4"/>
        <v>95.488419260451494</v>
      </c>
    </row>
    <row r="166" spans="1:7" ht="21.75" customHeight="1" x14ac:dyDescent="0.2">
      <c r="A166" s="145"/>
      <c r="B166" s="146" t="s">
        <v>121</v>
      </c>
      <c r="C166" s="146" t="s">
        <v>122</v>
      </c>
      <c r="D166" s="147" t="s">
        <v>280</v>
      </c>
      <c r="E166" s="150">
        <v>1000</v>
      </c>
      <c r="F166" s="149">
        <v>1123.17</v>
      </c>
      <c r="G166" s="151">
        <f t="shared" si="4"/>
        <v>112.31700000000001</v>
      </c>
    </row>
    <row r="167" spans="1:7" ht="21.75" customHeight="1" x14ac:dyDescent="0.2">
      <c r="A167" s="145"/>
      <c r="B167" s="146" t="s">
        <v>215</v>
      </c>
      <c r="C167" s="146" t="s">
        <v>123</v>
      </c>
      <c r="D167" s="147" t="s">
        <v>280</v>
      </c>
      <c r="E167" s="150">
        <v>3059.38</v>
      </c>
      <c r="F167" s="149">
        <v>2415</v>
      </c>
      <c r="G167" s="151">
        <f t="shared" si="4"/>
        <v>78.937562512665963</v>
      </c>
    </row>
    <row r="168" spans="1:7" ht="21.75" customHeight="1" x14ac:dyDescent="0.2">
      <c r="A168" s="145"/>
      <c r="B168" s="146" t="s">
        <v>215</v>
      </c>
      <c r="C168" s="146" t="s">
        <v>123</v>
      </c>
      <c r="D168" s="147" t="s">
        <v>281</v>
      </c>
      <c r="E168" s="150">
        <v>0</v>
      </c>
      <c r="F168" s="149">
        <v>0</v>
      </c>
      <c r="G168" s="151" t="e">
        <f t="shared" si="4"/>
        <v>#DIV/0!</v>
      </c>
    </row>
    <row r="169" spans="1:7" ht="21.75" customHeight="1" x14ac:dyDescent="0.2">
      <c r="A169" s="145"/>
      <c r="B169" s="146" t="s">
        <v>124</v>
      </c>
      <c r="C169" s="146" t="s">
        <v>125</v>
      </c>
      <c r="D169" s="147" t="s">
        <v>280</v>
      </c>
      <c r="E169" s="150">
        <v>0</v>
      </c>
      <c r="F169" s="149">
        <v>0</v>
      </c>
      <c r="G169" s="151" t="e">
        <f t="shared" si="4"/>
        <v>#DIV/0!</v>
      </c>
    </row>
    <row r="170" spans="1:7" ht="21.75" customHeight="1" x14ac:dyDescent="0.2">
      <c r="A170" s="145"/>
      <c r="B170" s="146" t="s">
        <v>126</v>
      </c>
      <c r="C170" s="146" t="s">
        <v>217</v>
      </c>
      <c r="D170" s="147" t="s">
        <v>280</v>
      </c>
      <c r="E170" s="150">
        <v>40</v>
      </c>
      <c r="F170" s="149">
        <v>0</v>
      </c>
      <c r="G170" s="151">
        <f t="shared" si="4"/>
        <v>0</v>
      </c>
    </row>
    <row r="171" spans="1:7" ht="21.75" customHeight="1" x14ac:dyDescent="0.2">
      <c r="A171" s="145"/>
      <c r="B171" s="146" t="s">
        <v>218</v>
      </c>
      <c r="C171" s="146" t="s">
        <v>128</v>
      </c>
      <c r="D171" s="147" t="s">
        <v>280</v>
      </c>
      <c r="E171" s="150">
        <v>200</v>
      </c>
      <c r="F171" s="149">
        <v>567.24</v>
      </c>
      <c r="G171" s="151">
        <f t="shared" si="4"/>
        <v>283.62</v>
      </c>
    </row>
    <row r="172" spans="1:7" ht="21.75" customHeight="1" x14ac:dyDescent="0.2">
      <c r="A172" s="145"/>
      <c r="B172" s="146" t="s">
        <v>219</v>
      </c>
      <c r="C172" s="146" t="s">
        <v>129</v>
      </c>
      <c r="D172" s="147" t="s">
        <v>280</v>
      </c>
      <c r="E172" s="150">
        <v>0</v>
      </c>
      <c r="F172" s="149">
        <v>0</v>
      </c>
      <c r="G172" s="151" t="e">
        <f t="shared" si="4"/>
        <v>#DIV/0!</v>
      </c>
    </row>
    <row r="173" spans="1:7" ht="21.75" customHeight="1" x14ac:dyDescent="0.2">
      <c r="A173" s="137"/>
      <c r="B173" s="141" t="s">
        <v>220</v>
      </c>
      <c r="C173" s="141" t="s">
        <v>130</v>
      </c>
      <c r="D173" s="142"/>
      <c r="E173" s="143">
        <f>SUM(E174:E179)</f>
        <v>2170.62</v>
      </c>
      <c r="F173" s="143">
        <f>SUM(F174:F179)</f>
        <v>2538.4800000000005</v>
      </c>
      <c r="G173" s="144">
        <f t="shared" si="4"/>
        <v>116.94723166652849</v>
      </c>
    </row>
    <row r="174" spans="1:7" ht="21.75" customHeight="1" x14ac:dyDescent="0.2">
      <c r="A174" s="145"/>
      <c r="B174" s="146" t="s">
        <v>131</v>
      </c>
      <c r="C174" s="146" t="s">
        <v>132</v>
      </c>
      <c r="D174" s="147" t="s">
        <v>280</v>
      </c>
      <c r="E174" s="150">
        <v>90</v>
      </c>
      <c r="F174" s="149">
        <v>200</v>
      </c>
      <c r="G174" s="151">
        <f t="shared" si="4"/>
        <v>222.22222222222223</v>
      </c>
    </row>
    <row r="175" spans="1:7" ht="21.75" customHeight="1" x14ac:dyDescent="0.2">
      <c r="A175" s="145"/>
      <c r="B175" s="146" t="s">
        <v>133</v>
      </c>
      <c r="C175" s="146" t="s">
        <v>134</v>
      </c>
      <c r="D175" s="147" t="s">
        <v>280</v>
      </c>
      <c r="E175" s="150">
        <v>200</v>
      </c>
      <c r="F175" s="149">
        <v>991.05</v>
      </c>
      <c r="G175" s="151">
        <f t="shared" si="4"/>
        <v>495.52499999999998</v>
      </c>
    </row>
    <row r="176" spans="1:7" ht="21.75" customHeight="1" x14ac:dyDescent="0.2">
      <c r="A176" s="145"/>
      <c r="B176" s="146" t="s">
        <v>136</v>
      </c>
      <c r="C176" s="146" t="s">
        <v>137</v>
      </c>
      <c r="D176" s="147" t="s">
        <v>280</v>
      </c>
      <c r="E176" s="150">
        <v>1200</v>
      </c>
      <c r="F176" s="149">
        <v>879.21</v>
      </c>
      <c r="G176" s="151">
        <f t="shared" si="4"/>
        <v>73.267500000000013</v>
      </c>
    </row>
    <row r="177" spans="1:7" ht="21.75" customHeight="1" x14ac:dyDescent="0.2">
      <c r="A177" s="145"/>
      <c r="B177" s="146" t="s">
        <v>222</v>
      </c>
      <c r="C177" s="146" t="s">
        <v>138</v>
      </c>
      <c r="D177" s="147" t="s">
        <v>280</v>
      </c>
      <c r="E177" s="150">
        <v>0</v>
      </c>
      <c r="F177" s="149">
        <v>0</v>
      </c>
      <c r="G177" s="151" t="e">
        <f t="shared" si="4"/>
        <v>#DIV/0!</v>
      </c>
    </row>
    <row r="178" spans="1:7" ht="21.75" customHeight="1" x14ac:dyDescent="0.2">
      <c r="A178" s="145"/>
      <c r="B178" s="146" t="s">
        <v>223</v>
      </c>
      <c r="C178" s="146" t="s">
        <v>139</v>
      </c>
      <c r="D178" s="147" t="s">
        <v>280</v>
      </c>
      <c r="E178" s="150">
        <v>380.62</v>
      </c>
      <c r="F178" s="149">
        <v>468.22</v>
      </c>
      <c r="G178" s="151">
        <f t="shared" si="4"/>
        <v>123.01508065787401</v>
      </c>
    </row>
    <row r="179" spans="1:7" ht="21.75" customHeight="1" x14ac:dyDescent="0.2">
      <c r="A179" s="145"/>
      <c r="B179" s="146" t="s">
        <v>143</v>
      </c>
      <c r="C179" s="146" t="s">
        <v>144</v>
      </c>
      <c r="D179" s="147" t="s">
        <v>280</v>
      </c>
      <c r="E179" s="150">
        <v>300</v>
      </c>
      <c r="F179" s="149">
        <v>0</v>
      </c>
      <c r="G179" s="151">
        <f t="shared" si="4"/>
        <v>0</v>
      </c>
    </row>
    <row r="180" spans="1:7" ht="21.75" customHeight="1" x14ac:dyDescent="0.2">
      <c r="A180" s="137"/>
      <c r="B180" s="141" t="s">
        <v>232</v>
      </c>
      <c r="C180" s="141" t="s">
        <v>154</v>
      </c>
      <c r="D180" s="142"/>
      <c r="E180" s="143">
        <f>E181</f>
        <v>150</v>
      </c>
      <c r="F180" s="143">
        <f>F181</f>
        <v>117.45</v>
      </c>
      <c r="G180" s="144">
        <f t="shared" si="4"/>
        <v>78.3</v>
      </c>
    </row>
    <row r="181" spans="1:7" ht="21.75" customHeight="1" x14ac:dyDescent="0.2">
      <c r="A181" s="137"/>
      <c r="B181" s="141" t="s">
        <v>233</v>
      </c>
      <c r="C181" s="141" t="s">
        <v>155</v>
      </c>
      <c r="D181" s="142"/>
      <c r="E181" s="143">
        <f>E182</f>
        <v>150</v>
      </c>
      <c r="F181" s="143">
        <f>F182</f>
        <v>117.45</v>
      </c>
      <c r="G181" s="144">
        <f t="shared" si="4"/>
        <v>78.3</v>
      </c>
    </row>
    <row r="182" spans="1:7" ht="21.75" customHeight="1" x14ac:dyDescent="0.2">
      <c r="A182" s="145"/>
      <c r="B182" s="146" t="s">
        <v>156</v>
      </c>
      <c r="C182" s="146" t="s">
        <v>157</v>
      </c>
      <c r="D182" s="147" t="s">
        <v>280</v>
      </c>
      <c r="E182" s="150">
        <v>150</v>
      </c>
      <c r="F182" s="149">
        <v>117.45</v>
      </c>
      <c r="G182" s="151">
        <f t="shared" si="4"/>
        <v>78.3</v>
      </c>
    </row>
    <row r="183" spans="1:7" ht="21.75" customHeight="1" x14ac:dyDescent="0.2">
      <c r="A183" s="137"/>
      <c r="B183" s="141" t="s">
        <v>282</v>
      </c>
      <c r="C183" s="141" t="s">
        <v>168</v>
      </c>
      <c r="D183" s="142"/>
      <c r="E183" s="143">
        <f t="shared" ref="E183:F185" si="5">E184</f>
        <v>0</v>
      </c>
      <c r="F183" s="143">
        <f t="shared" si="5"/>
        <v>0</v>
      </c>
      <c r="G183" s="144" t="e">
        <f t="shared" si="4"/>
        <v>#DIV/0!</v>
      </c>
    </row>
    <row r="184" spans="1:7" ht="21.75" customHeight="1" x14ac:dyDescent="0.2">
      <c r="A184" s="137"/>
      <c r="B184" s="141" t="s">
        <v>283</v>
      </c>
      <c r="C184" s="141" t="s">
        <v>284</v>
      </c>
      <c r="D184" s="142"/>
      <c r="E184" s="143">
        <f t="shared" si="5"/>
        <v>0</v>
      </c>
      <c r="F184" s="143">
        <f t="shared" si="5"/>
        <v>0</v>
      </c>
      <c r="G184" s="144" t="e">
        <f t="shared" si="4"/>
        <v>#DIV/0!</v>
      </c>
    </row>
    <row r="185" spans="1:7" ht="21.75" customHeight="1" x14ac:dyDescent="0.2">
      <c r="A185" s="137"/>
      <c r="B185" s="141" t="s">
        <v>285</v>
      </c>
      <c r="C185" s="141" t="s">
        <v>172</v>
      </c>
      <c r="D185" s="142"/>
      <c r="E185" s="143">
        <f t="shared" si="5"/>
        <v>0</v>
      </c>
      <c r="F185" s="143">
        <f t="shared" si="5"/>
        <v>0</v>
      </c>
      <c r="G185" s="144" t="e">
        <f t="shared" si="4"/>
        <v>#DIV/0!</v>
      </c>
    </row>
    <row r="186" spans="1:7" ht="21.75" customHeight="1" x14ac:dyDescent="0.2">
      <c r="A186" s="145"/>
      <c r="B186" s="156">
        <v>4227</v>
      </c>
      <c r="C186" s="190" t="s">
        <v>180</v>
      </c>
      <c r="D186" s="157" t="s">
        <v>280</v>
      </c>
      <c r="E186" s="160">
        <v>0</v>
      </c>
      <c r="F186" s="159">
        <v>0</v>
      </c>
      <c r="G186" s="161" t="e">
        <f t="shared" si="4"/>
        <v>#DIV/0!</v>
      </c>
    </row>
    <row r="187" spans="1:7" ht="21.75" customHeight="1" x14ac:dyDescent="0.2">
      <c r="A187" s="133" t="s">
        <v>286</v>
      </c>
      <c r="B187" s="270" t="s">
        <v>287</v>
      </c>
      <c r="C187" s="271"/>
      <c r="D187" s="134"/>
      <c r="E187" s="135">
        <f>E188</f>
        <v>187300</v>
      </c>
      <c r="F187" s="135">
        <f>F188</f>
        <v>171374.36000000002</v>
      </c>
      <c r="G187" s="136">
        <f t="shared" si="4"/>
        <v>91.497255739455426</v>
      </c>
    </row>
    <row r="188" spans="1:7" ht="21.75" customHeight="1" x14ac:dyDescent="0.2">
      <c r="A188" s="137"/>
      <c r="B188" s="137" t="s">
        <v>205</v>
      </c>
      <c r="C188" s="137" t="s">
        <v>101</v>
      </c>
      <c r="D188" s="138"/>
      <c r="E188" s="139">
        <f>SUM(E189,E201,E218)</f>
        <v>187300</v>
      </c>
      <c r="F188" s="139">
        <f>SUM(F189,F201,F218)</f>
        <v>171374.36000000002</v>
      </c>
      <c r="G188" s="140">
        <f t="shared" si="4"/>
        <v>91.497255739455426</v>
      </c>
    </row>
    <row r="189" spans="1:7" ht="21.75" customHeight="1" x14ac:dyDescent="0.2">
      <c r="A189" s="137"/>
      <c r="B189" s="141" t="s">
        <v>246</v>
      </c>
      <c r="C189" s="141" t="s">
        <v>102</v>
      </c>
      <c r="D189" s="142"/>
      <c r="E189" s="143">
        <f>SUM(E190,E194,E197)</f>
        <v>149040.75</v>
      </c>
      <c r="F189" s="143">
        <f>SUM(F190,F194,F197)</f>
        <v>149374.13</v>
      </c>
      <c r="G189" s="144">
        <f t="shared" si="4"/>
        <v>100.22368379117792</v>
      </c>
    </row>
    <row r="190" spans="1:7" ht="21.75" customHeight="1" x14ac:dyDescent="0.2">
      <c r="A190" s="137"/>
      <c r="B190" s="141" t="s">
        <v>247</v>
      </c>
      <c r="C190" s="141" t="s">
        <v>248</v>
      </c>
      <c r="D190" s="142"/>
      <c r="E190" s="143">
        <f>SUM(E191:E193)</f>
        <v>123313.96</v>
      </c>
      <c r="F190" s="143">
        <f>SUM(F191:F193)</f>
        <v>123342.59000000001</v>
      </c>
      <c r="G190" s="144">
        <f t="shared" si="4"/>
        <v>100.02321716049019</v>
      </c>
    </row>
    <row r="191" spans="1:7" ht="21.75" customHeight="1" x14ac:dyDescent="0.2">
      <c r="A191" s="145"/>
      <c r="B191" s="146" t="s">
        <v>249</v>
      </c>
      <c r="C191" s="146" t="s">
        <v>104</v>
      </c>
      <c r="D191" s="147" t="s">
        <v>281</v>
      </c>
      <c r="E191" s="150">
        <v>88412.02</v>
      </c>
      <c r="F191" s="149">
        <v>79588.570000000007</v>
      </c>
      <c r="G191" s="151">
        <f t="shared" si="4"/>
        <v>90.020078717803315</v>
      </c>
    </row>
    <row r="192" spans="1:7" ht="21.75" customHeight="1" x14ac:dyDescent="0.2">
      <c r="A192" s="145"/>
      <c r="B192" s="146" t="s">
        <v>249</v>
      </c>
      <c r="C192" s="146" t="s">
        <v>104</v>
      </c>
      <c r="D192" s="147" t="s">
        <v>280</v>
      </c>
      <c r="E192" s="150">
        <v>22855.200000000001</v>
      </c>
      <c r="F192" s="149">
        <v>31450.080000000002</v>
      </c>
      <c r="G192" s="151">
        <f t="shared" si="4"/>
        <v>137.60579649270187</v>
      </c>
    </row>
    <row r="193" spans="1:7" ht="21.75" customHeight="1" x14ac:dyDescent="0.2">
      <c r="A193" s="145"/>
      <c r="B193" s="146" t="s">
        <v>249</v>
      </c>
      <c r="C193" s="146" t="s">
        <v>104</v>
      </c>
      <c r="D193" s="147">
        <v>11001</v>
      </c>
      <c r="E193" s="150">
        <v>12046.74</v>
      </c>
      <c r="F193" s="149">
        <v>12303.94</v>
      </c>
      <c r="G193" s="151">
        <f t="shared" si="4"/>
        <v>102.13501744040296</v>
      </c>
    </row>
    <row r="194" spans="1:7" ht="21.75" customHeight="1" x14ac:dyDescent="0.2">
      <c r="A194" s="137"/>
      <c r="B194" s="141" t="s">
        <v>251</v>
      </c>
      <c r="C194" s="141" t="s">
        <v>107</v>
      </c>
      <c r="D194" s="142"/>
      <c r="E194" s="143">
        <f>E196+E195</f>
        <v>5380</v>
      </c>
      <c r="F194" s="143">
        <f>F196+F195</f>
        <v>5680</v>
      </c>
      <c r="G194" s="144">
        <f t="shared" si="4"/>
        <v>105.57620817843866</v>
      </c>
    </row>
    <row r="195" spans="1:7" ht="21.75" customHeight="1" x14ac:dyDescent="0.2">
      <c r="A195" s="137"/>
      <c r="B195" s="146" t="s">
        <v>108</v>
      </c>
      <c r="C195" s="146" t="s">
        <v>107</v>
      </c>
      <c r="D195" s="147">
        <v>55043</v>
      </c>
      <c r="E195" s="148">
        <v>0</v>
      </c>
      <c r="F195" s="148">
        <v>0</v>
      </c>
      <c r="G195" s="151" t="e">
        <f t="shared" si="4"/>
        <v>#DIV/0!</v>
      </c>
    </row>
    <row r="196" spans="1:7" ht="21.75" customHeight="1" x14ac:dyDescent="0.2">
      <c r="A196" s="145"/>
      <c r="B196" s="146" t="s">
        <v>108</v>
      </c>
      <c r="C196" s="146" t="s">
        <v>107</v>
      </c>
      <c r="D196" s="147" t="s">
        <v>280</v>
      </c>
      <c r="E196" s="150">
        <v>5380</v>
      </c>
      <c r="F196" s="149">
        <v>5680</v>
      </c>
      <c r="G196" s="151">
        <f t="shared" si="4"/>
        <v>105.57620817843866</v>
      </c>
    </row>
    <row r="197" spans="1:7" ht="21.75" customHeight="1" x14ac:dyDescent="0.2">
      <c r="A197" s="137"/>
      <c r="B197" s="141" t="s">
        <v>252</v>
      </c>
      <c r="C197" s="141" t="s">
        <v>109</v>
      </c>
      <c r="D197" s="142"/>
      <c r="E197" s="143">
        <f>SUM(E198:E200)</f>
        <v>20346.789999999997</v>
      </c>
      <c r="F197" s="143">
        <f>SUM(F198:F200)</f>
        <v>20351.539999999997</v>
      </c>
      <c r="G197" s="144">
        <f t="shared" si="4"/>
        <v>100.02334520580396</v>
      </c>
    </row>
    <row r="198" spans="1:7" ht="21.75" customHeight="1" x14ac:dyDescent="0.2">
      <c r="A198" s="145"/>
      <c r="B198" s="146" t="s">
        <v>253</v>
      </c>
      <c r="C198" s="146" t="s">
        <v>110</v>
      </c>
      <c r="D198" s="147" t="s">
        <v>280</v>
      </c>
      <c r="E198" s="150">
        <v>3771.1</v>
      </c>
      <c r="F198" s="149">
        <v>5231.7</v>
      </c>
      <c r="G198" s="151">
        <f t="shared" si="4"/>
        <v>138.73140462994883</v>
      </c>
    </row>
    <row r="199" spans="1:7" ht="21.75" customHeight="1" x14ac:dyDescent="0.2">
      <c r="A199" s="145"/>
      <c r="B199" s="146" t="s">
        <v>253</v>
      </c>
      <c r="C199" s="146" t="s">
        <v>110</v>
      </c>
      <c r="D199" s="147" t="s">
        <v>281</v>
      </c>
      <c r="E199" s="150">
        <v>14587.98</v>
      </c>
      <c r="F199" s="149">
        <v>13132.13</v>
      </c>
      <c r="G199" s="151">
        <f t="shared" si="4"/>
        <v>90.020208418163435</v>
      </c>
    </row>
    <row r="200" spans="1:7" ht="21.75" customHeight="1" x14ac:dyDescent="0.2">
      <c r="A200" s="145"/>
      <c r="B200" s="146" t="s">
        <v>253</v>
      </c>
      <c r="C200" s="146" t="s">
        <v>110</v>
      </c>
      <c r="D200" s="147">
        <v>11001</v>
      </c>
      <c r="E200" s="150">
        <v>1987.71</v>
      </c>
      <c r="F200" s="149">
        <v>1987.71</v>
      </c>
      <c r="G200" s="151">
        <f t="shared" si="4"/>
        <v>100</v>
      </c>
    </row>
    <row r="201" spans="1:7" ht="21.75" customHeight="1" x14ac:dyDescent="0.2">
      <c r="A201" s="137"/>
      <c r="B201" s="141" t="s">
        <v>206</v>
      </c>
      <c r="C201" s="141" t="s">
        <v>112</v>
      </c>
      <c r="D201" s="142"/>
      <c r="E201" s="143">
        <f>SUM(E202,E206,E212)</f>
        <v>38085.97</v>
      </c>
      <c r="F201" s="143">
        <f>SUM(F202,F206,F212)</f>
        <v>21852.75</v>
      </c>
      <c r="G201" s="144">
        <f t="shared" si="4"/>
        <v>57.377427961005054</v>
      </c>
    </row>
    <row r="202" spans="1:7" ht="21.75" customHeight="1" x14ac:dyDescent="0.2">
      <c r="A202" s="137"/>
      <c r="B202" s="141" t="s">
        <v>207</v>
      </c>
      <c r="C202" s="141" t="s">
        <v>113</v>
      </c>
      <c r="D202" s="142"/>
      <c r="E202" s="143">
        <f>SUM(E203:E205)</f>
        <v>4385.08</v>
      </c>
      <c r="F202" s="143">
        <f>SUM(F203:F205)</f>
        <v>4338.3</v>
      </c>
      <c r="G202" s="144">
        <f t="shared" si="4"/>
        <v>98.933200762585855</v>
      </c>
    </row>
    <row r="203" spans="1:7" ht="21.75" customHeight="1" x14ac:dyDescent="0.2">
      <c r="A203" s="145"/>
      <c r="B203" s="146" t="s">
        <v>114</v>
      </c>
      <c r="C203" s="146" t="s">
        <v>115</v>
      </c>
      <c r="D203" s="147" t="s">
        <v>280</v>
      </c>
      <c r="E203" s="150">
        <v>199.08</v>
      </c>
      <c r="F203" s="149">
        <v>194.52</v>
      </c>
      <c r="G203" s="151">
        <f t="shared" si="4"/>
        <v>97.709463532248336</v>
      </c>
    </row>
    <row r="204" spans="1:7" ht="21.75" customHeight="1" x14ac:dyDescent="0.2">
      <c r="A204" s="145"/>
      <c r="B204" s="146" t="s">
        <v>116</v>
      </c>
      <c r="C204" s="146" t="s">
        <v>117</v>
      </c>
      <c r="D204" s="147" t="s">
        <v>280</v>
      </c>
      <c r="E204" s="150">
        <v>4186</v>
      </c>
      <c r="F204" s="149">
        <v>4143.78</v>
      </c>
      <c r="G204" s="151">
        <f t="shared" si="4"/>
        <v>98.991399904443384</v>
      </c>
    </row>
    <row r="205" spans="1:7" ht="21.75" customHeight="1" x14ac:dyDescent="0.2">
      <c r="A205" s="145"/>
      <c r="B205" s="146" t="s">
        <v>211</v>
      </c>
      <c r="C205" s="146" t="s">
        <v>212</v>
      </c>
      <c r="D205" s="147" t="s">
        <v>280</v>
      </c>
      <c r="E205" s="150">
        <v>0</v>
      </c>
      <c r="F205" s="149">
        <v>0</v>
      </c>
      <c r="G205" s="151" t="e">
        <f t="shared" si="4"/>
        <v>#DIV/0!</v>
      </c>
    </row>
    <row r="206" spans="1:7" ht="21.75" customHeight="1" x14ac:dyDescent="0.2">
      <c r="A206" s="137"/>
      <c r="B206" s="141" t="s">
        <v>213</v>
      </c>
      <c r="C206" s="141" t="s">
        <v>214</v>
      </c>
      <c r="D206" s="142"/>
      <c r="E206" s="143">
        <f>SUM(E207:E211)</f>
        <v>32090.370000000003</v>
      </c>
      <c r="F206" s="143">
        <f>SUM(F207:F211)</f>
        <v>15680.26</v>
      </c>
      <c r="G206" s="144">
        <f t="shared" si="4"/>
        <v>48.862820840021477</v>
      </c>
    </row>
    <row r="207" spans="1:7" ht="21.75" customHeight="1" x14ac:dyDescent="0.2">
      <c r="A207" s="145"/>
      <c r="B207" s="146" t="s">
        <v>121</v>
      </c>
      <c r="C207" s="146" t="s">
        <v>122</v>
      </c>
      <c r="D207" s="147" t="s">
        <v>280</v>
      </c>
      <c r="E207" s="150">
        <v>1592.68</v>
      </c>
      <c r="F207" s="149">
        <v>1351.84</v>
      </c>
      <c r="G207" s="151">
        <f t="shared" si="4"/>
        <v>84.878318306251089</v>
      </c>
    </row>
    <row r="208" spans="1:7" ht="21.75" customHeight="1" x14ac:dyDescent="0.2">
      <c r="A208" s="145"/>
      <c r="B208" s="146" t="s">
        <v>215</v>
      </c>
      <c r="C208" s="146" t="s">
        <v>123</v>
      </c>
      <c r="D208" s="147" t="s">
        <v>280</v>
      </c>
      <c r="E208" s="150">
        <v>30194.97</v>
      </c>
      <c r="F208" s="149">
        <v>14271.32</v>
      </c>
      <c r="G208" s="151">
        <f t="shared" si="4"/>
        <v>47.263898589731994</v>
      </c>
    </row>
    <row r="209" spans="1:7" ht="21.75" customHeight="1" x14ac:dyDescent="0.2">
      <c r="A209" s="145"/>
      <c r="B209" s="146">
        <v>3224</v>
      </c>
      <c r="C209" s="146" t="s">
        <v>217</v>
      </c>
      <c r="D209" s="147">
        <v>47300</v>
      </c>
      <c r="E209" s="150">
        <v>50</v>
      </c>
      <c r="F209" s="149">
        <v>20.5</v>
      </c>
      <c r="G209" s="151">
        <f t="shared" si="4"/>
        <v>41</v>
      </c>
    </row>
    <row r="210" spans="1:7" ht="21.75" customHeight="1" x14ac:dyDescent="0.2">
      <c r="A210" s="145"/>
      <c r="B210" s="146" t="s">
        <v>218</v>
      </c>
      <c r="C210" s="146" t="s">
        <v>128</v>
      </c>
      <c r="D210" s="147" t="s">
        <v>280</v>
      </c>
      <c r="E210" s="150">
        <v>132.72</v>
      </c>
      <c r="F210" s="149">
        <v>36.6</v>
      </c>
      <c r="G210" s="151">
        <f t="shared" si="4"/>
        <v>27.576853526220617</v>
      </c>
    </row>
    <row r="211" spans="1:7" ht="21.75" customHeight="1" x14ac:dyDescent="0.2">
      <c r="A211" s="145"/>
      <c r="B211" s="146">
        <v>3227</v>
      </c>
      <c r="C211" s="146" t="s">
        <v>129</v>
      </c>
      <c r="D211" s="147" t="s">
        <v>280</v>
      </c>
      <c r="E211" s="150">
        <v>120</v>
      </c>
      <c r="F211" s="149">
        <v>0</v>
      </c>
      <c r="G211" s="151">
        <f t="shared" si="4"/>
        <v>0</v>
      </c>
    </row>
    <row r="212" spans="1:7" ht="21.75" customHeight="1" x14ac:dyDescent="0.2">
      <c r="A212" s="137"/>
      <c r="B212" s="141" t="s">
        <v>220</v>
      </c>
      <c r="C212" s="141" t="s">
        <v>130</v>
      </c>
      <c r="D212" s="142"/>
      <c r="E212" s="143">
        <f>SUM(E213:E217)</f>
        <v>1610.52</v>
      </c>
      <c r="F212" s="143">
        <f>SUM(F213:F217)</f>
        <v>1834.1899999999998</v>
      </c>
      <c r="G212" s="144">
        <f t="shared" si="4"/>
        <v>113.888060998932</v>
      </c>
    </row>
    <row r="213" spans="1:7" ht="21.75" customHeight="1" x14ac:dyDescent="0.2">
      <c r="A213" s="145"/>
      <c r="B213" s="146" t="s">
        <v>131</v>
      </c>
      <c r="C213" s="146" t="s">
        <v>132</v>
      </c>
      <c r="D213" s="147" t="s">
        <v>280</v>
      </c>
      <c r="E213" s="150">
        <v>200</v>
      </c>
      <c r="F213" s="149">
        <v>449.26</v>
      </c>
      <c r="G213" s="151">
        <f t="shared" si="4"/>
        <v>224.62999999999997</v>
      </c>
    </row>
    <row r="214" spans="1:7" ht="21.75" customHeight="1" x14ac:dyDescent="0.2">
      <c r="A214" s="145"/>
      <c r="B214" s="146" t="s">
        <v>136</v>
      </c>
      <c r="C214" s="146" t="s">
        <v>137</v>
      </c>
      <c r="D214" s="147" t="s">
        <v>280</v>
      </c>
      <c r="E214" s="150">
        <v>902.52</v>
      </c>
      <c r="F214" s="149">
        <v>920.79</v>
      </c>
      <c r="G214" s="151">
        <f t="shared" si="4"/>
        <v>102.02433187076187</v>
      </c>
    </row>
    <row r="215" spans="1:7" ht="21.75" customHeight="1" x14ac:dyDescent="0.2">
      <c r="A215" s="145"/>
      <c r="B215" s="146">
        <v>3236</v>
      </c>
      <c r="C215" s="146" t="s">
        <v>139</v>
      </c>
      <c r="D215" s="147" t="s">
        <v>280</v>
      </c>
      <c r="E215" s="150">
        <v>315.27999999999997</v>
      </c>
      <c r="F215" s="149">
        <v>315.27999999999997</v>
      </c>
      <c r="G215" s="151">
        <f t="shared" si="4"/>
        <v>100</v>
      </c>
    </row>
    <row r="216" spans="1:7" ht="21.75" customHeight="1" x14ac:dyDescent="0.2">
      <c r="A216" s="145"/>
      <c r="B216" s="146" t="s">
        <v>224</v>
      </c>
      <c r="C216" s="146" t="s">
        <v>225</v>
      </c>
      <c r="D216" s="147" t="s">
        <v>280</v>
      </c>
      <c r="E216" s="150">
        <v>61.86</v>
      </c>
      <c r="F216" s="149">
        <v>61.86</v>
      </c>
      <c r="G216" s="151">
        <f t="shared" si="4"/>
        <v>100</v>
      </c>
    </row>
    <row r="217" spans="1:7" ht="21.75" customHeight="1" x14ac:dyDescent="0.2">
      <c r="A217" s="145"/>
      <c r="B217" s="146" t="s">
        <v>143</v>
      </c>
      <c r="C217" s="146" t="s">
        <v>144</v>
      </c>
      <c r="D217" s="147" t="s">
        <v>280</v>
      </c>
      <c r="E217" s="150">
        <v>130.86000000000001</v>
      </c>
      <c r="F217" s="149">
        <v>87</v>
      </c>
      <c r="G217" s="151">
        <f t="shared" si="4"/>
        <v>66.483264557542412</v>
      </c>
    </row>
    <row r="218" spans="1:7" ht="21.75" customHeight="1" x14ac:dyDescent="0.2">
      <c r="A218" s="137"/>
      <c r="B218" s="141" t="s">
        <v>232</v>
      </c>
      <c r="C218" s="141" t="s">
        <v>154</v>
      </c>
      <c r="D218" s="142"/>
      <c r="E218" s="143">
        <f>E219</f>
        <v>173.28</v>
      </c>
      <c r="F218" s="143">
        <f>F219</f>
        <v>147.47999999999999</v>
      </c>
      <c r="G218" s="144">
        <f t="shared" si="4"/>
        <v>85.11080332409972</v>
      </c>
    </row>
    <row r="219" spans="1:7" ht="21.75" customHeight="1" x14ac:dyDescent="0.2">
      <c r="A219" s="137"/>
      <c r="B219" s="141" t="s">
        <v>233</v>
      </c>
      <c r="C219" s="141" t="s">
        <v>155</v>
      </c>
      <c r="D219" s="142"/>
      <c r="E219" s="143">
        <f>E220</f>
        <v>173.28</v>
      </c>
      <c r="F219" s="143">
        <f>F220</f>
        <v>147.47999999999999</v>
      </c>
      <c r="G219" s="144">
        <f t="shared" si="4"/>
        <v>85.11080332409972</v>
      </c>
    </row>
    <row r="220" spans="1:7" ht="21.75" customHeight="1" x14ac:dyDescent="0.2">
      <c r="A220" s="145"/>
      <c r="B220" s="156" t="s">
        <v>156</v>
      </c>
      <c r="C220" s="156" t="s">
        <v>157</v>
      </c>
      <c r="D220" s="157" t="s">
        <v>280</v>
      </c>
      <c r="E220" s="160">
        <v>173.28</v>
      </c>
      <c r="F220" s="159">
        <v>147.47999999999999</v>
      </c>
      <c r="G220" s="161">
        <f t="shared" si="4"/>
        <v>85.11080332409972</v>
      </c>
    </row>
    <row r="221" spans="1:7" ht="21.75" customHeight="1" x14ac:dyDescent="0.2">
      <c r="A221" s="133" t="s">
        <v>288</v>
      </c>
      <c r="B221" s="270" t="s">
        <v>289</v>
      </c>
      <c r="C221" s="271"/>
      <c r="D221" s="134"/>
      <c r="E221" s="135">
        <f>SUM(E222,E262)</f>
        <v>13106.650000000001</v>
      </c>
      <c r="F221" s="135">
        <f>SUM(F222,F262)</f>
        <v>12805.510000000002</v>
      </c>
      <c r="G221" s="136">
        <f t="shared" si="4"/>
        <v>97.702387719211245</v>
      </c>
    </row>
    <row r="222" spans="1:7" ht="21.75" customHeight="1" x14ac:dyDescent="0.2">
      <c r="A222" s="137"/>
      <c r="B222" s="137" t="s">
        <v>205</v>
      </c>
      <c r="C222" s="137" t="s">
        <v>101</v>
      </c>
      <c r="D222" s="138"/>
      <c r="E222" s="139">
        <f>SUM(E223,E234)</f>
        <v>12840.54</v>
      </c>
      <c r="F222" s="139">
        <f>SUM(F223,F234)</f>
        <v>12539.400000000001</v>
      </c>
      <c r="G222" s="140">
        <f t="shared" si="4"/>
        <v>97.654771528300216</v>
      </c>
    </row>
    <row r="223" spans="1:7" ht="21.75" customHeight="1" x14ac:dyDescent="0.2">
      <c r="A223" s="137"/>
      <c r="B223" s="141" t="s">
        <v>246</v>
      </c>
      <c r="C223" s="141" t="s">
        <v>102</v>
      </c>
      <c r="D223" s="142"/>
      <c r="E223" s="143">
        <f>SUM(E224,E228,E230)</f>
        <v>1948.02</v>
      </c>
      <c r="F223" s="143">
        <f>SUM(F224,F228,F230)</f>
        <v>1948.02</v>
      </c>
      <c r="G223" s="144">
        <f t="shared" si="4"/>
        <v>100</v>
      </c>
    </row>
    <row r="224" spans="1:7" ht="21.75" customHeight="1" x14ac:dyDescent="0.2">
      <c r="A224" s="137"/>
      <c r="B224" s="141" t="s">
        <v>247</v>
      </c>
      <c r="C224" s="141" t="s">
        <v>248</v>
      </c>
      <c r="D224" s="142"/>
      <c r="E224" s="143">
        <f>SUM(E225:E227)</f>
        <v>1586.29</v>
      </c>
      <c r="F224" s="143">
        <f>SUM(F225:F227)</f>
        <v>1586.29</v>
      </c>
      <c r="G224" s="144">
        <f t="shared" si="4"/>
        <v>100</v>
      </c>
    </row>
    <row r="225" spans="1:7" ht="21.75" customHeight="1" x14ac:dyDescent="0.2">
      <c r="A225" s="145"/>
      <c r="B225" s="146" t="s">
        <v>249</v>
      </c>
      <c r="C225" s="146" t="s">
        <v>104</v>
      </c>
      <c r="D225" s="147" t="s">
        <v>290</v>
      </c>
      <c r="E225" s="150">
        <v>733.85</v>
      </c>
      <c r="F225" s="149">
        <v>733.85</v>
      </c>
      <c r="G225" s="151">
        <f t="shared" si="4"/>
        <v>100</v>
      </c>
    </row>
    <row r="226" spans="1:7" ht="21.75" customHeight="1" x14ac:dyDescent="0.2">
      <c r="A226" s="145"/>
      <c r="B226" s="146" t="s">
        <v>249</v>
      </c>
      <c r="C226" s="146" t="s">
        <v>104</v>
      </c>
      <c r="D226" s="147" t="s">
        <v>261</v>
      </c>
      <c r="E226" s="150">
        <v>0</v>
      </c>
      <c r="F226" s="149">
        <v>0</v>
      </c>
      <c r="G226" s="151" t="e">
        <f t="shared" si="4"/>
        <v>#DIV/0!</v>
      </c>
    </row>
    <row r="227" spans="1:7" ht="21.75" customHeight="1" x14ac:dyDescent="0.2">
      <c r="A227" s="145"/>
      <c r="B227" s="146" t="s">
        <v>249</v>
      </c>
      <c r="C227" s="146" t="s">
        <v>104</v>
      </c>
      <c r="D227" s="147" t="s">
        <v>281</v>
      </c>
      <c r="E227" s="150">
        <v>852.44</v>
      </c>
      <c r="F227" s="149">
        <v>852.44</v>
      </c>
      <c r="G227" s="151">
        <f t="shared" si="4"/>
        <v>100</v>
      </c>
    </row>
    <row r="228" spans="1:7" ht="21.75" customHeight="1" x14ac:dyDescent="0.2">
      <c r="A228" s="145"/>
      <c r="B228" s="141" t="s">
        <v>251</v>
      </c>
      <c r="C228" s="141" t="s">
        <v>107</v>
      </c>
      <c r="D228" s="147"/>
      <c r="E228" s="204">
        <f>E229</f>
        <v>100</v>
      </c>
      <c r="F228" s="204">
        <f>F229</f>
        <v>100</v>
      </c>
      <c r="G228" s="144">
        <f t="shared" si="4"/>
        <v>100</v>
      </c>
    </row>
    <row r="229" spans="1:7" ht="21.75" customHeight="1" x14ac:dyDescent="0.2">
      <c r="A229" s="145"/>
      <c r="B229" s="146" t="s">
        <v>108</v>
      </c>
      <c r="C229" s="146" t="s">
        <v>107</v>
      </c>
      <c r="D229" s="147">
        <v>53080</v>
      </c>
      <c r="E229" s="150">
        <v>100</v>
      </c>
      <c r="F229" s="149">
        <v>100</v>
      </c>
      <c r="G229" s="151">
        <f t="shared" si="4"/>
        <v>100</v>
      </c>
    </row>
    <row r="230" spans="1:7" ht="21.75" customHeight="1" x14ac:dyDescent="0.2">
      <c r="A230" s="137"/>
      <c r="B230" s="141" t="s">
        <v>252</v>
      </c>
      <c r="C230" s="141" t="s">
        <v>109</v>
      </c>
      <c r="D230" s="142"/>
      <c r="E230" s="143">
        <f>SUM(E231:E233)</f>
        <v>261.73</v>
      </c>
      <c r="F230" s="143">
        <f>SUM(F231:F233)</f>
        <v>261.73</v>
      </c>
      <c r="G230" s="144">
        <f t="shared" si="4"/>
        <v>100</v>
      </c>
    </row>
    <row r="231" spans="1:7" ht="21.75" customHeight="1" x14ac:dyDescent="0.2">
      <c r="A231" s="145"/>
      <c r="B231" s="146" t="s">
        <v>253</v>
      </c>
      <c r="C231" s="146" t="s">
        <v>110</v>
      </c>
      <c r="D231" s="147" t="s">
        <v>290</v>
      </c>
      <c r="E231" s="150">
        <v>121.08</v>
      </c>
      <c r="F231" s="149">
        <v>121.08</v>
      </c>
      <c r="G231" s="151">
        <f t="shared" si="4"/>
        <v>100</v>
      </c>
    </row>
    <row r="232" spans="1:7" ht="21.75" customHeight="1" x14ac:dyDescent="0.2">
      <c r="A232" s="145"/>
      <c r="B232" s="146" t="s">
        <v>253</v>
      </c>
      <c r="C232" s="146" t="s">
        <v>110</v>
      </c>
      <c r="D232" s="147" t="s">
        <v>261</v>
      </c>
      <c r="E232" s="150">
        <v>0</v>
      </c>
      <c r="F232" s="149">
        <v>0</v>
      </c>
      <c r="G232" s="151" t="e">
        <f t="shared" ref="G232:G298" si="6">F232/E232*100</f>
        <v>#DIV/0!</v>
      </c>
    </row>
    <row r="233" spans="1:7" ht="21.75" customHeight="1" x14ac:dyDescent="0.2">
      <c r="A233" s="145"/>
      <c r="B233" s="146" t="s">
        <v>253</v>
      </c>
      <c r="C233" s="146" t="s">
        <v>110</v>
      </c>
      <c r="D233" s="147" t="s">
        <v>281</v>
      </c>
      <c r="E233" s="150">
        <v>140.65</v>
      </c>
      <c r="F233" s="149">
        <v>140.65</v>
      </c>
      <c r="G233" s="151">
        <f t="shared" si="6"/>
        <v>100</v>
      </c>
    </row>
    <row r="234" spans="1:7" ht="21.75" customHeight="1" x14ac:dyDescent="0.2">
      <c r="A234" s="137"/>
      <c r="B234" s="141" t="s">
        <v>206</v>
      </c>
      <c r="C234" s="141" t="s">
        <v>112</v>
      </c>
      <c r="D234" s="142"/>
      <c r="E234" s="143">
        <f>SUM(E235,E237,E246,E260)</f>
        <v>10892.52</v>
      </c>
      <c r="F234" s="143">
        <f>SUM(F235,F237,F246,F260)</f>
        <v>10591.380000000001</v>
      </c>
      <c r="G234" s="144">
        <f t="shared" si="6"/>
        <v>97.235350497405562</v>
      </c>
    </row>
    <row r="235" spans="1:7" ht="21.75" customHeight="1" x14ac:dyDescent="0.2">
      <c r="A235" s="137"/>
      <c r="B235" s="141" t="s">
        <v>207</v>
      </c>
      <c r="C235" s="141" t="s">
        <v>113</v>
      </c>
      <c r="D235" s="142"/>
      <c r="E235" s="143">
        <f>E236</f>
        <v>0</v>
      </c>
      <c r="F235" s="143">
        <f>F236</f>
        <v>0</v>
      </c>
      <c r="G235" s="144" t="e">
        <f t="shared" si="6"/>
        <v>#DIV/0!</v>
      </c>
    </row>
    <row r="236" spans="1:7" ht="21.75" customHeight="1" x14ac:dyDescent="0.2">
      <c r="A236" s="145"/>
      <c r="B236" s="146" t="s">
        <v>114</v>
      </c>
      <c r="C236" s="146" t="s">
        <v>115</v>
      </c>
      <c r="D236" s="147" t="s">
        <v>281</v>
      </c>
      <c r="E236" s="150">
        <v>0</v>
      </c>
      <c r="F236" s="149">
        <v>0</v>
      </c>
      <c r="G236" s="151" t="e">
        <f t="shared" si="6"/>
        <v>#DIV/0!</v>
      </c>
    </row>
    <row r="237" spans="1:7" ht="21.75" customHeight="1" x14ac:dyDescent="0.2">
      <c r="A237" s="137"/>
      <c r="B237" s="141" t="s">
        <v>213</v>
      </c>
      <c r="C237" s="141" t="s">
        <v>214</v>
      </c>
      <c r="D237" s="142"/>
      <c r="E237" s="143">
        <f>SUM(E238:E245)</f>
        <v>4769.9800000000005</v>
      </c>
      <c r="F237" s="143">
        <f>SUM(F238:F245)</f>
        <v>4554.6200000000008</v>
      </c>
      <c r="G237" s="144">
        <f t="shared" si="6"/>
        <v>95.485096373569718</v>
      </c>
    </row>
    <row r="238" spans="1:7" ht="21.75" customHeight="1" x14ac:dyDescent="0.2">
      <c r="A238" s="145"/>
      <c r="B238" s="146" t="s">
        <v>121</v>
      </c>
      <c r="C238" s="146" t="s">
        <v>291</v>
      </c>
      <c r="D238" s="147">
        <v>62300</v>
      </c>
      <c r="E238" s="150">
        <v>238.44</v>
      </c>
      <c r="F238" s="149">
        <v>0</v>
      </c>
      <c r="G238" s="151">
        <f t="shared" si="6"/>
        <v>0</v>
      </c>
    </row>
    <row r="239" spans="1:7" ht="21.75" customHeight="1" x14ac:dyDescent="0.2">
      <c r="A239" s="145"/>
      <c r="B239" s="146" t="s">
        <v>121</v>
      </c>
      <c r="C239" s="146" t="s">
        <v>122</v>
      </c>
      <c r="D239" s="147" t="s">
        <v>290</v>
      </c>
      <c r="E239" s="150">
        <v>488.81</v>
      </c>
      <c r="F239" s="149">
        <v>511.9</v>
      </c>
      <c r="G239" s="151">
        <f t="shared" si="6"/>
        <v>104.72371678157157</v>
      </c>
    </row>
    <row r="240" spans="1:7" ht="21.75" customHeight="1" x14ac:dyDescent="0.2">
      <c r="A240" s="145"/>
      <c r="B240" s="146" t="s">
        <v>121</v>
      </c>
      <c r="C240" s="146" t="s">
        <v>122</v>
      </c>
      <c r="D240" s="147" t="s">
        <v>280</v>
      </c>
      <c r="E240" s="150">
        <v>0</v>
      </c>
      <c r="F240" s="149">
        <v>0</v>
      </c>
      <c r="G240" s="151" t="e">
        <f t="shared" si="6"/>
        <v>#DIV/0!</v>
      </c>
    </row>
    <row r="241" spans="1:7" ht="21.75" customHeight="1" x14ac:dyDescent="0.2">
      <c r="A241" s="145"/>
      <c r="B241" s="146" t="s">
        <v>215</v>
      </c>
      <c r="C241" s="146" t="s">
        <v>123</v>
      </c>
      <c r="D241" s="147" t="s">
        <v>280</v>
      </c>
      <c r="E241" s="150">
        <v>520</v>
      </c>
      <c r="F241" s="149">
        <v>520</v>
      </c>
      <c r="G241" s="151">
        <f t="shared" si="6"/>
        <v>100</v>
      </c>
    </row>
    <row r="242" spans="1:7" ht="21.75" customHeight="1" x14ac:dyDescent="0.2">
      <c r="A242" s="145"/>
      <c r="B242" s="146" t="s">
        <v>215</v>
      </c>
      <c r="C242" s="146" t="s">
        <v>123</v>
      </c>
      <c r="D242" s="147" t="s">
        <v>290</v>
      </c>
      <c r="E242" s="150">
        <v>3019.13</v>
      </c>
      <c r="F242" s="149">
        <v>3019.13</v>
      </c>
      <c r="G242" s="151">
        <f t="shared" si="6"/>
        <v>100</v>
      </c>
    </row>
    <row r="243" spans="1:7" ht="21.75" customHeight="1" x14ac:dyDescent="0.2">
      <c r="A243" s="145"/>
      <c r="B243" s="146" t="s">
        <v>215</v>
      </c>
      <c r="C243" s="146" t="s">
        <v>123</v>
      </c>
      <c r="D243" s="147">
        <v>11001</v>
      </c>
      <c r="E243" s="150">
        <v>302.95999999999998</v>
      </c>
      <c r="F243" s="149">
        <v>302.95</v>
      </c>
      <c r="G243" s="151">
        <f t="shared" si="6"/>
        <v>99.996699234222348</v>
      </c>
    </row>
    <row r="244" spans="1:7" ht="21.75" customHeight="1" x14ac:dyDescent="0.2">
      <c r="A244" s="145"/>
      <c r="B244" s="146" t="s">
        <v>124</v>
      </c>
      <c r="C244" s="146" t="s">
        <v>125</v>
      </c>
      <c r="D244" s="147" t="s">
        <v>290</v>
      </c>
      <c r="E244" s="150">
        <v>200.64</v>
      </c>
      <c r="F244" s="149">
        <v>200.64</v>
      </c>
      <c r="G244" s="151">
        <f t="shared" si="6"/>
        <v>100</v>
      </c>
    </row>
    <row r="245" spans="1:7" ht="21.75" customHeight="1" x14ac:dyDescent="0.2">
      <c r="A245" s="145"/>
      <c r="B245" s="146" t="s">
        <v>218</v>
      </c>
      <c r="C245" s="146" t="s">
        <v>128</v>
      </c>
      <c r="D245" s="147" t="s">
        <v>281</v>
      </c>
      <c r="E245" s="150">
        <v>0</v>
      </c>
      <c r="F245" s="149">
        <v>0</v>
      </c>
      <c r="G245" s="151" t="e">
        <f t="shared" si="6"/>
        <v>#DIV/0!</v>
      </c>
    </row>
    <row r="246" spans="1:7" ht="21.75" customHeight="1" x14ac:dyDescent="0.2">
      <c r="A246" s="137"/>
      <c r="B246" s="141" t="s">
        <v>220</v>
      </c>
      <c r="C246" s="141" t="s">
        <v>130</v>
      </c>
      <c r="D246" s="142"/>
      <c r="E246" s="143">
        <f>SUM(E247:E259)</f>
        <v>5972.04</v>
      </c>
      <c r="F246" s="143">
        <f>SUM(F247:F259)</f>
        <v>5886.26</v>
      </c>
      <c r="G246" s="144">
        <f t="shared" si="6"/>
        <v>98.563639895245174</v>
      </c>
    </row>
    <row r="247" spans="1:7" ht="21.75" customHeight="1" x14ac:dyDescent="0.2">
      <c r="A247" s="145"/>
      <c r="B247" s="146" t="s">
        <v>131</v>
      </c>
      <c r="C247" s="146" t="s">
        <v>132</v>
      </c>
      <c r="D247" s="147" t="s">
        <v>292</v>
      </c>
      <c r="E247" s="150">
        <v>0</v>
      </c>
      <c r="F247" s="149">
        <v>0</v>
      </c>
      <c r="G247" s="151" t="e">
        <f t="shared" si="6"/>
        <v>#DIV/0!</v>
      </c>
    </row>
    <row r="248" spans="1:7" ht="21.75" customHeight="1" x14ac:dyDescent="0.2">
      <c r="A248" s="145"/>
      <c r="B248" s="146" t="s">
        <v>131</v>
      </c>
      <c r="C248" s="146" t="s">
        <v>132</v>
      </c>
      <c r="D248" s="147" t="s">
        <v>261</v>
      </c>
      <c r="E248" s="150">
        <v>0</v>
      </c>
      <c r="F248" s="149">
        <v>0</v>
      </c>
      <c r="G248" s="151" t="e">
        <f t="shared" si="6"/>
        <v>#DIV/0!</v>
      </c>
    </row>
    <row r="249" spans="1:7" ht="21.75" customHeight="1" x14ac:dyDescent="0.2">
      <c r="A249" s="145"/>
      <c r="B249" s="146" t="s">
        <v>131</v>
      </c>
      <c r="C249" s="146" t="s">
        <v>293</v>
      </c>
      <c r="D249" s="147" t="s">
        <v>281</v>
      </c>
      <c r="E249" s="150">
        <v>0</v>
      </c>
      <c r="F249" s="149">
        <v>0</v>
      </c>
      <c r="G249" s="151" t="e">
        <f t="shared" si="6"/>
        <v>#DIV/0!</v>
      </c>
    </row>
    <row r="250" spans="1:7" ht="21.75" customHeight="1" x14ac:dyDescent="0.2">
      <c r="A250" s="145"/>
      <c r="B250" s="146" t="s">
        <v>243</v>
      </c>
      <c r="C250" s="146" t="s">
        <v>294</v>
      </c>
      <c r="D250" s="147" t="s">
        <v>281</v>
      </c>
      <c r="E250" s="150">
        <v>1592.5</v>
      </c>
      <c r="F250" s="149">
        <v>1592.5</v>
      </c>
      <c r="G250" s="151">
        <f t="shared" si="6"/>
        <v>100</v>
      </c>
    </row>
    <row r="251" spans="1:7" ht="21.75" customHeight="1" x14ac:dyDescent="0.2">
      <c r="A251" s="145"/>
      <c r="B251" s="146" t="s">
        <v>136</v>
      </c>
      <c r="C251" s="146" t="s">
        <v>137</v>
      </c>
      <c r="D251" s="147" t="s">
        <v>290</v>
      </c>
      <c r="E251" s="150">
        <v>22.8</v>
      </c>
      <c r="F251" s="149">
        <v>0</v>
      </c>
      <c r="G251" s="151">
        <f t="shared" si="6"/>
        <v>0</v>
      </c>
    </row>
    <row r="252" spans="1:7" ht="21.75" customHeight="1" x14ac:dyDescent="0.2">
      <c r="A252" s="145"/>
      <c r="B252" s="146" t="s">
        <v>136</v>
      </c>
      <c r="C252" s="146" t="s">
        <v>137</v>
      </c>
      <c r="D252" s="147" t="s">
        <v>281</v>
      </c>
      <c r="E252" s="150">
        <v>0</v>
      </c>
      <c r="F252" s="149">
        <v>0</v>
      </c>
      <c r="G252" s="151" t="e">
        <f t="shared" si="6"/>
        <v>#DIV/0!</v>
      </c>
    </row>
    <row r="253" spans="1:7" ht="21.75" customHeight="1" x14ac:dyDescent="0.2">
      <c r="A253" s="145"/>
      <c r="B253" s="146" t="s">
        <v>223</v>
      </c>
      <c r="C253" s="146" t="s">
        <v>139</v>
      </c>
      <c r="D253" s="147" t="s">
        <v>281</v>
      </c>
      <c r="E253" s="150">
        <v>0</v>
      </c>
      <c r="F253" s="149">
        <v>0</v>
      </c>
      <c r="G253" s="151" t="e">
        <f t="shared" si="6"/>
        <v>#DIV/0!</v>
      </c>
    </row>
    <row r="254" spans="1:7" ht="21.75" customHeight="1" x14ac:dyDescent="0.2">
      <c r="A254" s="145"/>
      <c r="B254" s="146" t="s">
        <v>223</v>
      </c>
      <c r="C254" s="146" t="s">
        <v>139</v>
      </c>
      <c r="D254" s="147" t="s">
        <v>261</v>
      </c>
      <c r="E254" s="150">
        <v>0</v>
      </c>
      <c r="F254" s="149">
        <v>0</v>
      </c>
      <c r="G254" s="151" t="e">
        <f t="shared" si="6"/>
        <v>#DIV/0!</v>
      </c>
    </row>
    <row r="255" spans="1:7" ht="21.75" customHeight="1" x14ac:dyDescent="0.2">
      <c r="A255" s="145"/>
      <c r="B255" s="146" t="s">
        <v>224</v>
      </c>
      <c r="C255" s="146" t="s">
        <v>225</v>
      </c>
      <c r="D255" s="147" t="s">
        <v>261</v>
      </c>
      <c r="E255" s="150">
        <v>1047.05</v>
      </c>
      <c r="F255" s="149">
        <v>1047.05</v>
      </c>
      <c r="G255" s="151">
        <f t="shared" si="6"/>
        <v>100</v>
      </c>
    </row>
    <row r="256" spans="1:7" ht="21.75" customHeight="1" x14ac:dyDescent="0.2">
      <c r="A256" s="145"/>
      <c r="B256" s="146" t="s">
        <v>224</v>
      </c>
      <c r="C256" s="146" t="s">
        <v>295</v>
      </c>
      <c r="D256" s="147" t="s">
        <v>281</v>
      </c>
      <c r="E256" s="150">
        <v>1214.4100000000001</v>
      </c>
      <c r="F256" s="149">
        <v>1089.5</v>
      </c>
      <c r="G256" s="151">
        <f t="shared" si="6"/>
        <v>89.714346884495342</v>
      </c>
    </row>
    <row r="257" spans="1:13" ht="21.75" customHeight="1" x14ac:dyDescent="0.2">
      <c r="A257" s="145"/>
      <c r="B257" s="146" t="s">
        <v>141</v>
      </c>
      <c r="C257" s="146" t="s">
        <v>142</v>
      </c>
      <c r="D257" s="147" t="s">
        <v>242</v>
      </c>
      <c r="E257" s="150">
        <v>120</v>
      </c>
      <c r="F257" s="149">
        <v>119.76</v>
      </c>
      <c r="G257" s="151">
        <f t="shared" si="6"/>
        <v>99.8</v>
      </c>
    </row>
    <row r="258" spans="1:13" ht="21.75" customHeight="1" x14ac:dyDescent="0.2">
      <c r="A258" s="145"/>
      <c r="B258" s="146" t="s">
        <v>143</v>
      </c>
      <c r="C258" s="146" t="s">
        <v>144</v>
      </c>
      <c r="D258" s="147" t="s">
        <v>280</v>
      </c>
      <c r="E258" s="150">
        <v>1755</v>
      </c>
      <c r="F258" s="149">
        <v>1755</v>
      </c>
      <c r="G258" s="151">
        <f t="shared" si="6"/>
        <v>100</v>
      </c>
    </row>
    <row r="259" spans="1:13" ht="21.75" customHeight="1" x14ac:dyDescent="0.2">
      <c r="A259" s="145"/>
      <c r="B259" s="146" t="s">
        <v>143</v>
      </c>
      <c r="C259" s="146" t="s">
        <v>144</v>
      </c>
      <c r="D259" s="147">
        <v>62300</v>
      </c>
      <c r="E259" s="150">
        <v>220.28</v>
      </c>
      <c r="F259" s="149">
        <v>282.45</v>
      </c>
      <c r="G259" s="151">
        <f t="shared" si="6"/>
        <v>128.22317051025968</v>
      </c>
    </row>
    <row r="260" spans="1:13" ht="21.75" customHeight="1" x14ac:dyDescent="0.2">
      <c r="A260" s="145"/>
      <c r="B260" s="141">
        <v>329</v>
      </c>
      <c r="C260" s="141" t="s">
        <v>229</v>
      </c>
      <c r="D260" s="142"/>
      <c r="E260" s="204">
        <f>E261</f>
        <v>150.5</v>
      </c>
      <c r="F260" s="204">
        <f>F261</f>
        <v>150.5</v>
      </c>
      <c r="G260" s="151">
        <f t="shared" si="6"/>
        <v>100</v>
      </c>
    </row>
    <row r="261" spans="1:13" ht="21.75" customHeight="1" x14ac:dyDescent="0.2">
      <c r="A261" s="145"/>
      <c r="B261" s="146">
        <v>3299</v>
      </c>
      <c r="C261" s="146" t="s">
        <v>296</v>
      </c>
      <c r="D261" s="147">
        <v>62300</v>
      </c>
      <c r="E261" s="150">
        <v>150.5</v>
      </c>
      <c r="F261" s="149">
        <v>150.5</v>
      </c>
      <c r="G261" s="151">
        <f t="shared" si="6"/>
        <v>100</v>
      </c>
    </row>
    <row r="262" spans="1:13" ht="21.75" customHeight="1" x14ac:dyDescent="0.2">
      <c r="A262" s="137"/>
      <c r="B262" s="141" t="s">
        <v>282</v>
      </c>
      <c r="C262" s="141" t="s">
        <v>168</v>
      </c>
      <c r="D262" s="142"/>
      <c r="E262" s="143">
        <f>E263</f>
        <v>266.11</v>
      </c>
      <c r="F262" s="143">
        <f>F263</f>
        <v>266.11</v>
      </c>
      <c r="G262" s="144">
        <f t="shared" si="6"/>
        <v>100</v>
      </c>
    </row>
    <row r="263" spans="1:13" ht="21.75" customHeight="1" x14ac:dyDescent="0.2">
      <c r="A263" s="137"/>
      <c r="B263" s="141" t="s">
        <v>283</v>
      </c>
      <c r="C263" s="141" t="s">
        <v>284</v>
      </c>
      <c r="D263" s="142"/>
      <c r="E263" s="143">
        <f>E264</f>
        <v>266.11</v>
      </c>
      <c r="F263" s="143">
        <f>F264</f>
        <v>266.11</v>
      </c>
      <c r="G263" s="144">
        <f t="shared" si="6"/>
        <v>100</v>
      </c>
    </row>
    <row r="264" spans="1:13" ht="21.75" customHeight="1" x14ac:dyDescent="0.2">
      <c r="A264" s="137"/>
      <c r="B264" s="141" t="s">
        <v>285</v>
      </c>
      <c r="C264" s="141" t="s">
        <v>172</v>
      </c>
      <c r="D264" s="142"/>
      <c r="E264" s="143">
        <f>SUM(E265:E266)</f>
        <v>266.11</v>
      </c>
      <c r="F264" s="143">
        <f>SUM(F265:F266)</f>
        <v>266.11</v>
      </c>
      <c r="G264" s="144">
        <f t="shared" si="6"/>
        <v>100</v>
      </c>
    </row>
    <row r="265" spans="1:13" ht="21.75" customHeight="1" x14ac:dyDescent="0.2">
      <c r="A265" s="145"/>
      <c r="B265" s="146">
        <v>4226</v>
      </c>
      <c r="C265" s="146" t="s">
        <v>179</v>
      </c>
      <c r="D265" s="147">
        <v>62300</v>
      </c>
      <c r="E265" s="150">
        <v>266.11</v>
      </c>
      <c r="F265" s="149">
        <v>266.11</v>
      </c>
      <c r="G265" s="151">
        <f t="shared" si="6"/>
        <v>100</v>
      </c>
      <c r="M265" s="232"/>
    </row>
    <row r="266" spans="1:13" ht="21.75" customHeight="1" x14ac:dyDescent="0.2">
      <c r="A266" s="145"/>
      <c r="B266" s="156" t="s">
        <v>297</v>
      </c>
      <c r="C266" s="156" t="s">
        <v>180</v>
      </c>
      <c r="D266" s="157" t="s">
        <v>292</v>
      </c>
      <c r="E266" s="160">
        <v>0</v>
      </c>
      <c r="F266" s="159">
        <v>0</v>
      </c>
      <c r="G266" s="161" t="e">
        <f t="shared" si="6"/>
        <v>#DIV/0!</v>
      </c>
    </row>
    <row r="267" spans="1:13" ht="21.75" customHeight="1" x14ac:dyDescent="0.2">
      <c r="A267" s="133" t="s">
        <v>298</v>
      </c>
      <c r="B267" s="270" t="s">
        <v>299</v>
      </c>
      <c r="C267" s="271"/>
      <c r="D267" s="134"/>
      <c r="E267" s="135">
        <f>E268</f>
        <v>230</v>
      </c>
      <c r="F267" s="135">
        <f>F268</f>
        <v>0</v>
      </c>
      <c r="G267" s="136">
        <f t="shared" si="6"/>
        <v>0</v>
      </c>
    </row>
    <row r="268" spans="1:13" ht="21.75" customHeight="1" x14ac:dyDescent="0.2">
      <c r="A268" s="137"/>
      <c r="B268" s="137" t="s">
        <v>205</v>
      </c>
      <c r="C268" s="137" t="s">
        <v>101</v>
      </c>
      <c r="D268" s="138"/>
      <c r="E268" s="139">
        <f>E269+E277</f>
        <v>230</v>
      </c>
      <c r="F268" s="139">
        <f>F269</f>
        <v>0</v>
      </c>
      <c r="G268" s="140">
        <f t="shared" si="6"/>
        <v>0</v>
      </c>
    </row>
    <row r="269" spans="1:13" ht="21.75" customHeight="1" x14ac:dyDescent="0.2">
      <c r="A269" s="137"/>
      <c r="B269" s="141" t="s">
        <v>206</v>
      </c>
      <c r="C269" s="141" t="s">
        <v>112</v>
      </c>
      <c r="D269" s="142"/>
      <c r="E269" s="143">
        <f>SUM(E270,E272,E274)</f>
        <v>130</v>
      </c>
      <c r="F269" s="143">
        <f>SUM(F270,F272,F274)</f>
        <v>0</v>
      </c>
      <c r="G269" s="144">
        <f t="shared" si="6"/>
        <v>0</v>
      </c>
    </row>
    <row r="270" spans="1:13" ht="21.75" customHeight="1" x14ac:dyDescent="0.2">
      <c r="A270" s="137"/>
      <c r="B270" s="141">
        <v>321</v>
      </c>
      <c r="C270" s="141" t="s">
        <v>113</v>
      </c>
      <c r="D270" s="142"/>
      <c r="E270" s="143">
        <f>E271</f>
        <v>0</v>
      </c>
      <c r="F270" s="143">
        <f>F271</f>
        <v>0</v>
      </c>
      <c r="G270" s="144" t="e">
        <f t="shared" si="6"/>
        <v>#DIV/0!</v>
      </c>
    </row>
    <row r="271" spans="1:13" ht="21.75" customHeight="1" x14ac:dyDescent="0.2">
      <c r="A271" s="137"/>
      <c r="B271" s="146">
        <v>3213</v>
      </c>
      <c r="C271" s="146" t="s">
        <v>210</v>
      </c>
      <c r="D271" s="147">
        <v>55043</v>
      </c>
      <c r="E271" s="148">
        <v>0</v>
      </c>
      <c r="F271" s="148">
        <v>0</v>
      </c>
      <c r="G271" s="151" t="e">
        <f t="shared" si="6"/>
        <v>#DIV/0!</v>
      </c>
    </row>
    <row r="272" spans="1:13" ht="21.75" customHeight="1" x14ac:dyDescent="0.2">
      <c r="A272" s="137"/>
      <c r="B272" s="141" t="s">
        <v>213</v>
      </c>
      <c r="C272" s="141" t="s">
        <v>214</v>
      </c>
      <c r="D272" s="142"/>
      <c r="E272" s="143">
        <f>E273</f>
        <v>65</v>
      </c>
      <c r="F272" s="143">
        <f>F273</f>
        <v>0</v>
      </c>
      <c r="G272" s="144">
        <f t="shared" si="6"/>
        <v>0</v>
      </c>
    </row>
    <row r="273" spans="1:7" ht="21.75" customHeight="1" x14ac:dyDescent="0.2">
      <c r="A273" s="145"/>
      <c r="B273" s="146" t="s">
        <v>121</v>
      </c>
      <c r="C273" s="146" t="s">
        <v>291</v>
      </c>
      <c r="D273" s="147" t="s">
        <v>281</v>
      </c>
      <c r="E273" s="150">
        <v>65</v>
      </c>
      <c r="F273" s="149">
        <v>0</v>
      </c>
      <c r="G273" s="151">
        <f t="shared" si="6"/>
        <v>0</v>
      </c>
    </row>
    <row r="274" spans="1:7" ht="21.75" customHeight="1" x14ac:dyDescent="0.2">
      <c r="A274" s="137"/>
      <c r="B274" s="141" t="s">
        <v>220</v>
      </c>
      <c r="C274" s="141" t="s">
        <v>130</v>
      </c>
      <c r="D274" s="142"/>
      <c r="E274" s="143">
        <f>E276+E275</f>
        <v>65</v>
      </c>
      <c r="F274" s="143">
        <f>F279+F275</f>
        <v>0</v>
      </c>
      <c r="G274" s="144">
        <f t="shared" si="6"/>
        <v>0</v>
      </c>
    </row>
    <row r="275" spans="1:7" ht="21.75" customHeight="1" x14ac:dyDescent="0.2">
      <c r="A275" s="137"/>
      <c r="B275" s="156">
        <v>3231</v>
      </c>
      <c r="C275" s="156" t="s">
        <v>132</v>
      </c>
      <c r="D275" s="157">
        <v>55043</v>
      </c>
      <c r="E275" s="158">
        <v>65</v>
      </c>
      <c r="F275" s="158">
        <v>0</v>
      </c>
      <c r="G275" s="151">
        <f t="shared" si="6"/>
        <v>0</v>
      </c>
    </row>
    <row r="276" spans="1:7" ht="21.75" customHeight="1" x14ac:dyDescent="0.2">
      <c r="A276" s="137"/>
      <c r="B276" s="156">
        <v>3237</v>
      </c>
      <c r="C276" s="156" t="s">
        <v>140</v>
      </c>
      <c r="D276" s="157" t="s">
        <v>281</v>
      </c>
      <c r="E276" s="160">
        <v>0</v>
      </c>
      <c r="F276" s="159">
        <v>0</v>
      </c>
      <c r="G276" s="161" t="e">
        <f t="shared" ref="G276:G279" si="7">F276/E276*100</f>
        <v>#DIV/0!</v>
      </c>
    </row>
    <row r="277" spans="1:7" ht="21.75" customHeight="1" x14ac:dyDescent="0.2">
      <c r="A277" s="137"/>
      <c r="B277" s="162">
        <v>37</v>
      </c>
      <c r="C277" s="189" t="s">
        <v>237</v>
      </c>
      <c r="D277" s="163"/>
      <c r="E277" s="164">
        <f>E278</f>
        <v>100</v>
      </c>
      <c r="F277" s="164">
        <f>F278</f>
        <v>0</v>
      </c>
      <c r="G277" s="166">
        <f t="shared" si="7"/>
        <v>0</v>
      </c>
    </row>
    <row r="278" spans="1:7" ht="21.75" customHeight="1" x14ac:dyDescent="0.2">
      <c r="A278" s="137"/>
      <c r="B278" s="162">
        <v>372</v>
      </c>
      <c r="C278" s="189" t="s">
        <v>163</v>
      </c>
      <c r="D278" s="163"/>
      <c r="E278" s="164">
        <f>E279</f>
        <v>100</v>
      </c>
      <c r="F278" s="164">
        <f>F279</f>
        <v>0</v>
      </c>
      <c r="G278" s="166">
        <f t="shared" si="7"/>
        <v>0</v>
      </c>
    </row>
    <row r="279" spans="1:7" ht="21.75" customHeight="1" x14ac:dyDescent="0.2">
      <c r="A279" s="145"/>
      <c r="B279" s="156">
        <v>3722</v>
      </c>
      <c r="C279" s="190" t="s">
        <v>164</v>
      </c>
      <c r="D279" s="157">
        <v>55043</v>
      </c>
      <c r="E279" s="160">
        <v>100</v>
      </c>
      <c r="F279" s="159">
        <v>0</v>
      </c>
      <c r="G279" s="161">
        <f t="shared" si="7"/>
        <v>0</v>
      </c>
    </row>
    <row r="280" spans="1:7" ht="21.75" customHeight="1" x14ac:dyDescent="0.2">
      <c r="A280" s="133" t="s">
        <v>300</v>
      </c>
      <c r="B280" s="270" t="s">
        <v>301</v>
      </c>
      <c r="C280" s="271"/>
      <c r="D280" s="134"/>
      <c r="E280" s="135">
        <f>SUM(E281,E293)</f>
        <v>25984</v>
      </c>
      <c r="F280" s="135">
        <f>SUM(F281,F293)</f>
        <v>26123.170000000002</v>
      </c>
      <c r="G280" s="136">
        <f t="shared" si="6"/>
        <v>100.53559883004928</v>
      </c>
    </row>
    <row r="281" spans="1:7" ht="21.75" customHeight="1" x14ac:dyDescent="0.2">
      <c r="A281" s="137"/>
      <c r="B281" s="137" t="s">
        <v>205</v>
      </c>
      <c r="C281" s="137" t="s">
        <v>101</v>
      </c>
      <c r="D281" s="138"/>
      <c r="E281" s="139">
        <f>SUM(E282,E290)</f>
        <v>24134</v>
      </c>
      <c r="F281" s="139">
        <f>SUM(F282,F290)</f>
        <v>24828.720000000001</v>
      </c>
      <c r="G281" s="140">
        <f t="shared" si="6"/>
        <v>102.87859451396371</v>
      </c>
    </row>
    <row r="282" spans="1:7" ht="21.75" customHeight="1" x14ac:dyDescent="0.2">
      <c r="A282" s="137"/>
      <c r="B282" s="141" t="s">
        <v>206</v>
      </c>
      <c r="C282" s="141" t="s">
        <v>112</v>
      </c>
      <c r="D282" s="142"/>
      <c r="E282" s="143">
        <f>SUM(E283,E285,E287)</f>
        <v>4134</v>
      </c>
      <c r="F282" s="143">
        <f>SUM(F283,F285,F287)</f>
        <v>4932.83</v>
      </c>
      <c r="G282" s="144">
        <f t="shared" si="6"/>
        <v>119.32341557813255</v>
      </c>
    </row>
    <row r="283" spans="1:7" ht="21.75" customHeight="1" x14ac:dyDescent="0.2">
      <c r="A283" s="137"/>
      <c r="B283" s="141" t="s">
        <v>207</v>
      </c>
      <c r="C283" s="141" t="s">
        <v>113</v>
      </c>
      <c r="D283" s="142"/>
      <c r="E283" s="143">
        <f>E284</f>
        <v>50</v>
      </c>
      <c r="F283" s="143">
        <f>F284</f>
        <v>0</v>
      </c>
      <c r="G283" s="144">
        <f t="shared" si="6"/>
        <v>0</v>
      </c>
    </row>
    <row r="284" spans="1:7" ht="21.75" customHeight="1" x14ac:dyDescent="0.2">
      <c r="A284" s="145"/>
      <c r="B284" s="146" t="s">
        <v>209</v>
      </c>
      <c r="C284" s="146" t="s">
        <v>210</v>
      </c>
      <c r="D284" s="147" t="s">
        <v>280</v>
      </c>
      <c r="E284" s="150">
        <v>50</v>
      </c>
      <c r="F284" s="149">
        <v>0</v>
      </c>
      <c r="G284" s="151">
        <f t="shared" si="6"/>
        <v>0</v>
      </c>
    </row>
    <row r="285" spans="1:7" ht="21.75" customHeight="1" x14ac:dyDescent="0.2">
      <c r="A285" s="137"/>
      <c r="B285" s="141" t="s">
        <v>213</v>
      </c>
      <c r="C285" s="141" t="s">
        <v>214</v>
      </c>
      <c r="D285" s="142"/>
      <c r="E285" s="143">
        <f>SUM(E286:E286)</f>
        <v>3600</v>
      </c>
      <c r="F285" s="143">
        <f>SUM(F286:F286)</f>
        <v>4448.83</v>
      </c>
      <c r="G285" s="144">
        <f t="shared" si="6"/>
        <v>123.5786111111111</v>
      </c>
    </row>
    <row r="286" spans="1:7" ht="21.75" customHeight="1" x14ac:dyDescent="0.2">
      <c r="A286" s="145"/>
      <c r="B286" s="146" t="s">
        <v>121</v>
      </c>
      <c r="C286" s="146" t="s">
        <v>122</v>
      </c>
      <c r="D286" s="147" t="s">
        <v>280</v>
      </c>
      <c r="E286" s="150">
        <v>3600</v>
      </c>
      <c r="F286" s="149">
        <v>4448.83</v>
      </c>
      <c r="G286" s="151">
        <f t="shared" si="6"/>
        <v>123.5786111111111</v>
      </c>
    </row>
    <row r="287" spans="1:7" ht="21.75" customHeight="1" x14ac:dyDescent="0.2">
      <c r="A287" s="145"/>
      <c r="B287" s="141" t="s">
        <v>220</v>
      </c>
      <c r="C287" s="141" t="s">
        <v>130</v>
      </c>
      <c r="D287" s="147"/>
      <c r="E287" s="205">
        <f>E288+E289</f>
        <v>484</v>
      </c>
      <c r="F287" s="205">
        <f>F288+F289</f>
        <v>484</v>
      </c>
      <c r="G287" s="144">
        <f t="shared" si="6"/>
        <v>100</v>
      </c>
    </row>
    <row r="288" spans="1:7" ht="21.75" customHeight="1" x14ac:dyDescent="0.2">
      <c r="A288" s="145"/>
      <c r="B288" s="146">
        <v>3238</v>
      </c>
      <c r="C288" s="146" t="s">
        <v>142</v>
      </c>
      <c r="D288" s="147">
        <v>47300</v>
      </c>
      <c r="E288" s="150">
        <v>0</v>
      </c>
      <c r="F288" s="149">
        <v>0</v>
      </c>
      <c r="G288" s="151" t="e">
        <f t="shared" si="6"/>
        <v>#DIV/0!</v>
      </c>
    </row>
    <row r="289" spans="1:7" ht="21.75" customHeight="1" x14ac:dyDescent="0.2">
      <c r="A289" s="145"/>
      <c r="B289" s="146">
        <v>3239</v>
      </c>
      <c r="C289" s="146" t="s">
        <v>144</v>
      </c>
      <c r="D289" s="147">
        <v>47300</v>
      </c>
      <c r="E289" s="150">
        <v>484</v>
      </c>
      <c r="F289" s="149">
        <v>484</v>
      </c>
      <c r="G289" s="151">
        <f t="shared" si="6"/>
        <v>100</v>
      </c>
    </row>
    <row r="290" spans="1:7" ht="21.75" customHeight="1" x14ac:dyDescent="0.2">
      <c r="A290" s="137"/>
      <c r="B290" s="141" t="s">
        <v>236</v>
      </c>
      <c r="C290" s="141" t="s">
        <v>237</v>
      </c>
      <c r="D290" s="142"/>
      <c r="E290" s="143">
        <f>E291</f>
        <v>20000</v>
      </c>
      <c r="F290" s="143">
        <f>F291</f>
        <v>19895.89</v>
      </c>
      <c r="G290" s="144">
        <f t="shared" si="6"/>
        <v>99.47945</v>
      </c>
    </row>
    <row r="291" spans="1:7" ht="21.75" customHeight="1" x14ac:dyDescent="0.2">
      <c r="A291" s="137"/>
      <c r="B291" s="141" t="s">
        <v>238</v>
      </c>
      <c r="C291" s="141" t="s">
        <v>239</v>
      </c>
      <c r="D291" s="142"/>
      <c r="E291" s="143">
        <f>E292</f>
        <v>20000</v>
      </c>
      <c r="F291" s="143">
        <f>F292</f>
        <v>19895.89</v>
      </c>
      <c r="G291" s="144">
        <f t="shared" si="6"/>
        <v>99.47945</v>
      </c>
    </row>
    <row r="292" spans="1:7" ht="21.75" customHeight="1" x14ac:dyDescent="0.2">
      <c r="A292" s="145"/>
      <c r="B292" s="146" t="s">
        <v>302</v>
      </c>
      <c r="C292" s="146" t="s">
        <v>164</v>
      </c>
      <c r="D292" s="147" t="s">
        <v>250</v>
      </c>
      <c r="E292" s="150">
        <v>20000</v>
      </c>
      <c r="F292" s="149">
        <v>19895.89</v>
      </c>
      <c r="G292" s="151">
        <f t="shared" si="6"/>
        <v>99.47945</v>
      </c>
    </row>
    <row r="293" spans="1:7" ht="21.75" customHeight="1" x14ac:dyDescent="0.2">
      <c r="A293" s="137"/>
      <c r="B293" s="141" t="s">
        <v>282</v>
      </c>
      <c r="C293" s="141" t="s">
        <v>168</v>
      </c>
      <c r="D293" s="142"/>
      <c r="E293" s="143">
        <f>E294</f>
        <v>1850</v>
      </c>
      <c r="F293" s="143">
        <f>F294</f>
        <v>1294.45</v>
      </c>
      <c r="G293" s="144">
        <f t="shared" si="6"/>
        <v>69.970270270270277</v>
      </c>
    </row>
    <row r="294" spans="1:7" ht="24" customHeight="1" x14ac:dyDescent="0.2">
      <c r="A294" s="137"/>
      <c r="B294" s="141" t="s">
        <v>283</v>
      </c>
      <c r="C294" s="141" t="s">
        <v>284</v>
      </c>
      <c r="D294" s="142"/>
      <c r="E294" s="143">
        <f>E295</f>
        <v>1850</v>
      </c>
      <c r="F294" s="143">
        <f>F295</f>
        <v>1294.45</v>
      </c>
      <c r="G294" s="144">
        <f t="shared" si="6"/>
        <v>69.970270270270277</v>
      </c>
    </row>
    <row r="295" spans="1:7" ht="21.75" customHeight="1" x14ac:dyDescent="0.2">
      <c r="A295" s="137"/>
      <c r="B295" s="141" t="s">
        <v>303</v>
      </c>
      <c r="C295" s="141" t="s">
        <v>304</v>
      </c>
      <c r="D295" s="142"/>
      <c r="E295" s="143">
        <f>SUM(E296:E297)</f>
        <v>1850</v>
      </c>
      <c r="F295" s="143">
        <f>SUM(F296:F297)</f>
        <v>1294.45</v>
      </c>
      <c r="G295" s="144">
        <f t="shared" si="6"/>
        <v>69.970270270270277</v>
      </c>
    </row>
    <row r="296" spans="1:7" ht="21.75" customHeight="1" x14ac:dyDescent="0.2">
      <c r="A296" s="145"/>
      <c r="B296" s="146" t="s">
        <v>305</v>
      </c>
      <c r="C296" s="146" t="s">
        <v>184</v>
      </c>
      <c r="D296" s="147" t="s">
        <v>280</v>
      </c>
      <c r="E296" s="150">
        <v>350</v>
      </c>
      <c r="F296" s="149">
        <v>0</v>
      </c>
      <c r="G296" s="151">
        <f t="shared" si="6"/>
        <v>0</v>
      </c>
    </row>
    <row r="297" spans="1:7" ht="21.75" customHeight="1" x14ac:dyDescent="0.2">
      <c r="A297" s="145"/>
      <c r="B297" s="156" t="s">
        <v>305</v>
      </c>
      <c r="C297" s="156" t="s">
        <v>184</v>
      </c>
      <c r="D297" s="157" t="s">
        <v>250</v>
      </c>
      <c r="E297" s="160">
        <v>1500</v>
      </c>
      <c r="F297" s="159">
        <v>1294.45</v>
      </c>
      <c r="G297" s="161">
        <f t="shared" si="6"/>
        <v>86.296666666666667</v>
      </c>
    </row>
    <row r="298" spans="1:7" ht="21.75" customHeight="1" x14ac:dyDescent="0.2">
      <c r="A298" s="133" t="s">
        <v>306</v>
      </c>
      <c r="B298" s="270" t="s">
        <v>307</v>
      </c>
      <c r="C298" s="271"/>
      <c r="D298" s="134"/>
      <c r="E298" s="135">
        <f t="shared" ref="E298:F300" si="8">E299</f>
        <v>600</v>
      </c>
      <c r="F298" s="135">
        <f t="shared" si="8"/>
        <v>596.83000000000004</v>
      </c>
      <c r="G298" s="136">
        <f t="shared" si="6"/>
        <v>99.471666666666664</v>
      </c>
    </row>
    <row r="299" spans="1:7" ht="21.75" customHeight="1" x14ac:dyDescent="0.2">
      <c r="A299" s="137"/>
      <c r="B299" s="137" t="s">
        <v>205</v>
      </c>
      <c r="C299" s="137" t="s">
        <v>101</v>
      </c>
      <c r="D299" s="138"/>
      <c r="E299" s="139">
        <f t="shared" si="8"/>
        <v>600</v>
      </c>
      <c r="F299" s="139">
        <f t="shared" si="8"/>
        <v>596.83000000000004</v>
      </c>
      <c r="G299" s="140">
        <f t="shared" ref="G299:G366" si="9">F299/E299*100</f>
        <v>99.471666666666664</v>
      </c>
    </row>
    <row r="300" spans="1:7" ht="21.75" customHeight="1" x14ac:dyDescent="0.2">
      <c r="A300" s="137"/>
      <c r="B300" s="141" t="s">
        <v>206</v>
      </c>
      <c r="C300" s="141" t="s">
        <v>112</v>
      </c>
      <c r="D300" s="142"/>
      <c r="E300" s="143">
        <f t="shared" si="8"/>
        <v>600</v>
      </c>
      <c r="F300" s="143">
        <f t="shared" si="8"/>
        <v>596.83000000000004</v>
      </c>
      <c r="G300" s="144">
        <f t="shared" si="9"/>
        <v>99.471666666666664</v>
      </c>
    </row>
    <row r="301" spans="1:7" ht="21.75" customHeight="1" x14ac:dyDescent="0.2">
      <c r="A301" s="137"/>
      <c r="B301" s="141" t="s">
        <v>213</v>
      </c>
      <c r="C301" s="141" t="s">
        <v>214</v>
      </c>
      <c r="D301" s="142"/>
      <c r="E301" s="143">
        <f>SUM(E302:E303)</f>
        <v>600</v>
      </c>
      <c r="F301" s="143">
        <f>SUM(F302:F303)</f>
        <v>596.83000000000004</v>
      </c>
      <c r="G301" s="144">
        <f t="shared" si="9"/>
        <v>99.471666666666664</v>
      </c>
    </row>
    <row r="302" spans="1:7" ht="21.75" customHeight="1" x14ac:dyDescent="0.2">
      <c r="A302" s="145"/>
      <c r="B302" s="146" t="s">
        <v>121</v>
      </c>
      <c r="C302" s="146" t="s">
        <v>122</v>
      </c>
      <c r="D302" s="147" t="s">
        <v>242</v>
      </c>
      <c r="E302" s="150">
        <v>500</v>
      </c>
      <c r="F302" s="149">
        <v>561.83000000000004</v>
      </c>
      <c r="G302" s="151">
        <f t="shared" si="9"/>
        <v>112.36600000000001</v>
      </c>
    </row>
    <row r="303" spans="1:7" ht="21.75" customHeight="1" x14ac:dyDescent="0.2">
      <c r="A303" s="145"/>
      <c r="B303" s="156" t="s">
        <v>218</v>
      </c>
      <c r="C303" s="156" t="s">
        <v>128</v>
      </c>
      <c r="D303" s="157" t="s">
        <v>242</v>
      </c>
      <c r="E303" s="160">
        <v>100</v>
      </c>
      <c r="F303" s="159">
        <v>35</v>
      </c>
      <c r="G303" s="161">
        <f t="shared" si="9"/>
        <v>35</v>
      </c>
    </row>
    <row r="304" spans="1:7" ht="21.75" customHeight="1" x14ac:dyDescent="0.2">
      <c r="A304" s="133" t="s">
        <v>308</v>
      </c>
      <c r="B304" s="270" t="s">
        <v>309</v>
      </c>
      <c r="C304" s="271"/>
      <c r="D304" s="134"/>
      <c r="E304" s="135">
        <f>E305</f>
        <v>2616</v>
      </c>
      <c r="F304" s="135">
        <f>F305</f>
        <v>2336</v>
      </c>
      <c r="G304" s="136">
        <f t="shared" si="9"/>
        <v>89.296636085626915</v>
      </c>
    </row>
    <row r="305" spans="1:7" ht="21.75" customHeight="1" x14ac:dyDescent="0.2">
      <c r="A305" s="137"/>
      <c r="B305" s="137" t="s">
        <v>205</v>
      </c>
      <c r="C305" s="137" t="s">
        <v>101</v>
      </c>
      <c r="D305" s="138"/>
      <c r="E305" s="139">
        <f>SUM(E306,E313)</f>
        <v>2616</v>
      </c>
      <c r="F305" s="139">
        <f>SUM(F306,F313)</f>
        <v>2336</v>
      </c>
      <c r="G305" s="140">
        <f t="shared" si="9"/>
        <v>89.296636085626915</v>
      </c>
    </row>
    <row r="306" spans="1:7" ht="21.75" customHeight="1" x14ac:dyDescent="0.2">
      <c r="A306" s="137"/>
      <c r="B306" s="141" t="s">
        <v>246</v>
      </c>
      <c r="C306" s="141" t="s">
        <v>102</v>
      </c>
      <c r="D306" s="142"/>
      <c r="E306" s="143">
        <f>SUM(E307,E309,E311)</f>
        <v>438.02</v>
      </c>
      <c r="F306" s="143">
        <f>SUM(F307,F309,F311)</f>
        <v>438.02</v>
      </c>
      <c r="G306" s="144">
        <f t="shared" si="9"/>
        <v>100</v>
      </c>
    </row>
    <row r="307" spans="1:7" ht="21.75" customHeight="1" x14ac:dyDescent="0.2">
      <c r="A307" s="137"/>
      <c r="B307" s="141" t="s">
        <v>247</v>
      </c>
      <c r="C307" s="141" t="s">
        <v>248</v>
      </c>
      <c r="D307" s="142"/>
      <c r="E307" s="143">
        <f>E308</f>
        <v>333.06</v>
      </c>
      <c r="F307" s="143">
        <f>F308</f>
        <v>333.06</v>
      </c>
      <c r="G307" s="144">
        <f t="shared" si="9"/>
        <v>100</v>
      </c>
    </row>
    <row r="308" spans="1:7" ht="21.75" customHeight="1" x14ac:dyDescent="0.2">
      <c r="A308" s="145"/>
      <c r="B308" s="146" t="s">
        <v>249</v>
      </c>
      <c r="C308" s="146" t="s">
        <v>104</v>
      </c>
      <c r="D308" s="147" t="s">
        <v>267</v>
      </c>
      <c r="E308" s="150">
        <v>333.06</v>
      </c>
      <c r="F308" s="149">
        <v>333.06</v>
      </c>
      <c r="G308" s="151">
        <f t="shared" si="9"/>
        <v>100</v>
      </c>
    </row>
    <row r="309" spans="1:7" ht="21.75" customHeight="1" x14ac:dyDescent="0.2">
      <c r="A309" s="145"/>
      <c r="B309" s="141" t="s">
        <v>251</v>
      </c>
      <c r="C309" s="141" t="s">
        <v>107</v>
      </c>
      <c r="D309" s="147"/>
      <c r="E309" s="204">
        <f>E310</f>
        <v>50</v>
      </c>
      <c r="F309" s="204">
        <f>F310</f>
        <v>50</v>
      </c>
      <c r="G309" s="144">
        <f t="shared" si="9"/>
        <v>100</v>
      </c>
    </row>
    <row r="310" spans="1:7" ht="21.75" customHeight="1" x14ac:dyDescent="0.2">
      <c r="A310" s="145"/>
      <c r="B310" s="146" t="s">
        <v>108</v>
      </c>
      <c r="C310" s="146" t="s">
        <v>107</v>
      </c>
      <c r="D310" s="147">
        <v>53080</v>
      </c>
      <c r="E310" s="150">
        <v>50</v>
      </c>
      <c r="F310" s="149">
        <v>50</v>
      </c>
      <c r="G310" s="151">
        <f t="shared" si="9"/>
        <v>100</v>
      </c>
    </row>
    <row r="311" spans="1:7" ht="21.75" customHeight="1" x14ac:dyDescent="0.2">
      <c r="A311" s="137"/>
      <c r="B311" s="141" t="s">
        <v>252</v>
      </c>
      <c r="C311" s="141" t="s">
        <v>109</v>
      </c>
      <c r="D311" s="142"/>
      <c r="E311" s="143">
        <f>E312</f>
        <v>54.96</v>
      </c>
      <c r="F311" s="143">
        <f>F312</f>
        <v>54.96</v>
      </c>
      <c r="G311" s="144">
        <f t="shared" si="9"/>
        <v>100</v>
      </c>
    </row>
    <row r="312" spans="1:7" ht="21.75" customHeight="1" x14ac:dyDescent="0.2">
      <c r="A312" s="145"/>
      <c r="B312" s="146" t="s">
        <v>253</v>
      </c>
      <c r="C312" s="146" t="s">
        <v>110</v>
      </c>
      <c r="D312" s="147" t="s">
        <v>267</v>
      </c>
      <c r="E312" s="150">
        <v>54.96</v>
      </c>
      <c r="F312" s="149">
        <v>54.96</v>
      </c>
      <c r="G312" s="151">
        <f t="shared" si="9"/>
        <v>100</v>
      </c>
    </row>
    <row r="313" spans="1:7" ht="21.75" customHeight="1" x14ac:dyDescent="0.2">
      <c r="A313" s="137"/>
      <c r="B313" s="141" t="s">
        <v>206</v>
      </c>
      <c r="C313" s="141" t="s">
        <v>112</v>
      </c>
      <c r="D313" s="142"/>
      <c r="E313" s="143">
        <f>SUM(E314,E317)</f>
        <v>2177.98</v>
      </c>
      <c r="F313" s="143">
        <f>SUM(F314,F317)</f>
        <v>1897.98</v>
      </c>
      <c r="G313" s="144">
        <f t="shared" si="9"/>
        <v>87.144050909558402</v>
      </c>
    </row>
    <row r="314" spans="1:7" ht="21.75" customHeight="1" x14ac:dyDescent="0.2">
      <c r="A314" s="137"/>
      <c r="B314" s="141" t="s">
        <v>213</v>
      </c>
      <c r="C314" s="141" t="s">
        <v>214</v>
      </c>
      <c r="D314" s="142"/>
      <c r="E314" s="143">
        <f>SUM(E315:E316)</f>
        <v>1878.63</v>
      </c>
      <c r="F314" s="143">
        <f>SUM(F315:F316)</f>
        <v>1878.63</v>
      </c>
      <c r="G314" s="144">
        <f t="shared" si="9"/>
        <v>100</v>
      </c>
    </row>
    <row r="315" spans="1:7" ht="21.75" customHeight="1" x14ac:dyDescent="0.2">
      <c r="A315" s="145"/>
      <c r="B315" s="146" t="s">
        <v>121</v>
      </c>
      <c r="C315" s="146" t="s">
        <v>122</v>
      </c>
      <c r="D315" s="147" t="s">
        <v>267</v>
      </c>
      <c r="E315" s="150">
        <v>118.38</v>
      </c>
      <c r="F315" s="149">
        <v>118.38</v>
      </c>
      <c r="G315" s="151">
        <f t="shared" si="9"/>
        <v>100</v>
      </c>
    </row>
    <row r="316" spans="1:7" ht="21.75" customHeight="1" x14ac:dyDescent="0.2">
      <c r="A316" s="145"/>
      <c r="B316" s="146" t="s">
        <v>215</v>
      </c>
      <c r="C316" s="146" t="s">
        <v>123</v>
      </c>
      <c r="D316" s="147" t="s">
        <v>267</v>
      </c>
      <c r="E316" s="150">
        <v>1760.25</v>
      </c>
      <c r="F316" s="116">
        <v>1760.25</v>
      </c>
      <c r="G316" s="151">
        <f t="shared" si="9"/>
        <v>100</v>
      </c>
    </row>
    <row r="317" spans="1:7" ht="21.75" customHeight="1" x14ac:dyDescent="0.2">
      <c r="A317" s="137"/>
      <c r="B317" s="141" t="s">
        <v>220</v>
      </c>
      <c r="C317" s="141" t="s">
        <v>130</v>
      </c>
      <c r="D317" s="142"/>
      <c r="E317" s="143">
        <f>E319+E318</f>
        <v>299.35000000000002</v>
      </c>
      <c r="F317" s="143">
        <f>F319</f>
        <v>19.350000000000001</v>
      </c>
      <c r="G317" s="144">
        <f t="shared" si="9"/>
        <v>6.4640053449139794</v>
      </c>
    </row>
    <row r="318" spans="1:7" ht="21.75" customHeight="1" x14ac:dyDescent="0.2">
      <c r="A318" s="137"/>
      <c r="B318" s="156" t="s">
        <v>243</v>
      </c>
      <c r="C318" s="156" t="s">
        <v>221</v>
      </c>
      <c r="D318" s="157" t="s">
        <v>267</v>
      </c>
      <c r="E318" s="158">
        <v>19.350000000000001</v>
      </c>
      <c r="F318" s="158">
        <v>0</v>
      </c>
      <c r="G318" s="161">
        <f t="shared" si="9"/>
        <v>0</v>
      </c>
    </row>
    <row r="319" spans="1:7" ht="21.75" customHeight="1" x14ac:dyDescent="0.2">
      <c r="A319" s="145"/>
      <c r="B319" s="146" t="s">
        <v>143</v>
      </c>
      <c r="C319" s="146" t="s">
        <v>144</v>
      </c>
      <c r="D319" s="157" t="s">
        <v>267</v>
      </c>
      <c r="E319" s="160">
        <v>280</v>
      </c>
      <c r="F319" s="159">
        <v>19.350000000000001</v>
      </c>
      <c r="G319" s="161">
        <f t="shared" si="9"/>
        <v>6.9107142857142865</v>
      </c>
    </row>
    <row r="320" spans="1:7" ht="21.75" customHeight="1" x14ac:dyDescent="0.2">
      <c r="A320" s="133" t="s">
        <v>310</v>
      </c>
      <c r="B320" s="270" t="s">
        <v>311</v>
      </c>
      <c r="C320" s="271"/>
      <c r="D320" s="134"/>
      <c r="E320" s="135">
        <f>E321+E340</f>
        <v>5879.95</v>
      </c>
      <c r="F320" s="135">
        <f>F321+F340</f>
        <v>5083.0399999999991</v>
      </c>
      <c r="G320" s="136">
        <f t="shared" si="9"/>
        <v>86.446993596884312</v>
      </c>
    </row>
    <row r="321" spans="1:7" ht="21.75" customHeight="1" x14ac:dyDescent="0.2">
      <c r="A321" s="137"/>
      <c r="B321" s="137" t="s">
        <v>205</v>
      </c>
      <c r="C321" s="137" t="s">
        <v>101</v>
      </c>
      <c r="D321" s="138"/>
      <c r="E321" s="139">
        <f>E322+E337</f>
        <v>5679.95</v>
      </c>
      <c r="F321" s="139">
        <f>F322+F337</f>
        <v>4890.4299999999994</v>
      </c>
      <c r="G321" s="140">
        <f t="shared" si="9"/>
        <v>86.099877639767953</v>
      </c>
    </row>
    <row r="322" spans="1:7" ht="21.75" customHeight="1" x14ac:dyDescent="0.2">
      <c r="A322" s="137"/>
      <c r="B322" s="141" t="s">
        <v>206</v>
      </c>
      <c r="C322" s="141" t="s">
        <v>112</v>
      </c>
      <c r="D322" s="142"/>
      <c r="E322" s="143">
        <f>SUM(E323,E330,E335)</f>
        <v>5329.95</v>
      </c>
      <c r="F322" s="143">
        <f>SUM(F323,F330,F335)</f>
        <v>4756.0499999999993</v>
      </c>
      <c r="G322" s="144">
        <f t="shared" si="9"/>
        <v>89.232544395350786</v>
      </c>
    </row>
    <row r="323" spans="1:7" ht="21.75" customHeight="1" x14ac:dyDescent="0.2">
      <c r="A323" s="137"/>
      <c r="B323" s="141" t="s">
        <v>213</v>
      </c>
      <c r="C323" s="141" t="s">
        <v>214</v>
      </c>
      <c r="D323" s="142"/>
      <c r="E323" s="143">
        <f>SUM(E324:E329)</f>
        <v>1849</v>
      </c>
      <c r="F323" s="143">
        <f>SUM(F324:F329)</f>
        <v>1347.56</v>
      </c>
      <c r="G323" s="144">
        <f t="shared" si="9"/>
        <v>72.880475932936719</v>
      </c>
    </row>
    <row r="324" spans="1:7" ht="21.75" customHeight="1" x14ac:dyDescent="0.2">
      <c r="A324" s="145"/>
      <c r="B324" s="146" t="s">
        <v>121</v>
      </c>
      <c r="C324" s="146" t="s">
        <v>291</v>
      </c>
      <c r="D324" s="147" t="s">
        <v>281</v>
      </c>
      <c r="E324" s="150">
        <v>879</v>
      </c>
      <c r="F324" s="149">
        <v>879</v>
      </c>
      <c r="G324" s="151">
        <f t="shared" si="9"/>
        <v>100</v>
      </c>
    </row>
    <row r="325" spans="1:7" ht="21.75" customHeight="1" x14ac:dyDescent="0.2">
      <c r="A325" s="145"/>
      <c r="B325" s="146" t="s">
        <v>121</v>
      </c>
      <c r="C325" s="146" t="s">
        <v>122</v>
      </c>
      <c r="D325" s="147" t="s">
        <v>250</v>
      </c>
      <c r="E325" s="150">
        <v>450</v>
      </c>
      <c r="F325" s="149">
        <v>189.26</v>
      </c>
      <c r="G325" s="151">
        <f t="shared" si="9"/>
        <v>42.05777777777778</v>
      </c>
    </row>
    <row r="326" spans="1:7" ht="21.75" customHeight="1" x14ac:dyDescent="0.2">
      <c r="A326" s="145"/>
      <c r="B326" s="146" t="s">
        <v>215</v>
      </c>
      <c r="C326" s="146" t="s">
        <v>123</v>
      </c>
      <c r="D326" s="147" t="s">
        <v>250</v>
      </c>
      <c r="E326" s="150">
        <v>320</v>
      </c>
      <c r="F326" s="149">
        <v>149.02000000000001</v>
      </c>
      <c r="G326" s="151">
        <f t="shared" si="9"/>
        <v>46.568750000000001</v>
      </c>
    </row>
    <row r="327" spans="1:7" ht="21.75" customHeight="1" x14ac:dyDescent="0.2">
      <c r="A327" s="145"/>
      <c r="B327" s="146" t="s">
        <v>124</v>
      </c>
      <c r="C327" s="146" t="s">
        <v>125</v>
      </c>
      <c r="D327" s="147" t="s">
        <v>281</v>
      </c>
      <c r="E327" s="150">
        <v>0</v>
      </c>
      <c r="F327" s="149">
        <v>0</v>
      </c>
      <c r="G327" s="151" t="e">
        <f t="shared" si="9"/>
        <v>#DIV/0!</v>
      </c>
    </row>
    <row r="328" spans="1:7" ht="21.75" customHeight="1" x14ac:dyDescent="0.2">
      <c r="A328" s="145"/>
      <c r="B328" s="146" t="s">
        <v>126</v>
      </c>
      <c r="C328" s="146" t="s">
        <v>217</v>
      </c>
      <c r="D328" s="147" t="s">
        <v>281</v>
      </c>
      <c r="E328" s="150">
        <v>0</v>
      </c>
      <c r="F328" s="149">
        <v>0</v>
      </c>
      <c r="G328" s="151" t="e">
        <f t="shared" si="9"/>
        <v>#DIV/0!</v>
      </c>
    </row>
    <row r="329" spans="1:7" ht="21.75" customHeight="1" x14ac:dyDescent="0.2">
      <c r="A329" s="145"/>
      <c r="B329" s="146">
        <v>3225</v>
      </c>
      <c r="C329" s="146" t="s">
        <v>128</v>
      </c>
      <c r="D329" s="147">
        <v>53082</v>
      </c>
      <c r="E329" s="150">
        <v>200</v>
      </c>
      <c r="F329" s="149">
        <v>130.28</v>
      </c>
      <c r="G329" s="151">
        <f t="shared" si="9"/>
        <v>65.14</v>
      </c>
    </row>
    <row r="330" spans="1:7" ht="21.75" customHeight="1" x14ac:dyDescent="0.2">
      <c r="A330" s="137"/>
      <c r="B330" s="141" t="s">
        <v>220</v>
      </c>
      <c r="C330" s="141" t="s">
        <v>130</v>
      </c>
      <c r="D330" s="142"/>
      <c r="E330" s="143">
        <f>SUM(E331:E334)</f>
        <v>3130.95</v>
      </c>
      <c r="F330" s="143">
        <f>SUM(F331:F334)</f>
        <v>3321</v>
      </c>
      <c r="G330" s="144">
        <f t="shared" si="9"/>
        <v>106.07004263881569</v>
      </c>
    </row>
    <row r="331" spans="1:7" ht="21.75" customHeight="1" x14ac:dyDescent="0.2">
      <c r="A331" s="145"/>
      <c r="B331" s="146" t="s">
        <v>133</v>
      </c>
      <c r="C331" s="146" t="s">
        <v>134</v>
      </c>
      <c r="D331" s="147" t="s">
        <v>281</v>
      </c>
      <c r="E331" s="150">
        <v>562.5</v>
      </c>
      <c r="F331" s="149">
        <v>562.5</v>
      </c>
      <c r="G331" s="151">
        <f t="shared" si="9"/>
        <v>100</v>
      </c>
    </row>
    <row r="332" spans="1:7" ht="21.75" customHeight="1" x14ac:dyDescent="0.2">
      <c r="A332" s="145"/>
      <c r="B332" s="146">
        <v>3233</v>
      </c>
      <c r="C332" s="146" t="s">
        <v>312</v>
      </c>
      <c r="D332" s="147">
        <v>53082</v>
      </c>
      <c r="E332" s="150">
        <v>250</v>
      </c>
      <c r="F332" s="149">
        <v>0</v>
      </c>
      <c r="G332" s="151">
        <f t="shared" si="9"/>
        <v>0</v>
      </c>
    </row>
    <row r="333" spans="1:7" ht="21.75" customHeight="1" x14ac:dyDescent="0.2">
      <c r="A333" s="145"/>
      <c r="B333" s="146" t="s">
        <v>136</v>
      </c>
      <c r="C333" s="146" t="s">
        <v>137</v>
      </c>
      <c r="D333" s="147" t="s">
        <v>281</v>
      </c>
      <c r="E333" s="150">
        <v>2318.4499999999998</v>
      </c>
      <c r="F333" s="149">
        <v>2758.5</v>
      </c>
      <c r="G333" s="151">
        <f t="shared" si="9"/>
        <v>118.98035325325111</v>
      </c>
    </row>
    <row r="334" spans="1:7" ht="21.75" customHeight="1" x14ac:dyDescent="0.2">
      <c r="A334" s="145"/>
      <c r="B334" s="156" t="s">
        <v>223</v>
      </c>
      <c r="C334" s="156" t="s">
        <v>139</v>
      </c>
      <c r="D334" s="157" t="s">
        <v>281</v>
      </c>
      <c r="E334" s="160">
        <v>0</v>
      </c>
      <c r="F334" s="159">
        <v>0</v>
      </c>
      <c r="G334" s="161" t="e">
        <f t="shared" si="9"/>
        <v>#DIV/0!</v>
      </c>
    </row>
    <row r="335" spans="1:7" ht="21.75" customHeight="1" x14ac:dyDescent="0.2">
      <c r="A335" s="145"/>
      <c r="B335" s="141" t="s">
        <v>228</v>
      </c>
      <c r="C335" s="141" t="s">
        <v>229</v>
      </c>
      <c r="D335" s="157"/>
      <c r="E335" s="202">
        <f>E336</f>
        <v>350</v>
      </c>
      <c r="F335" s="202">
        <f>F336</f>
        <v>87.49</v>
      </c>
      <c r="G335" s="144">
        <f t="shared" si="9"/>
        <v>24.997142857142858</v>
      </c>
    </row>
    <row r="336" spans="1:7" ht="21.75" customHeight="1" x14ac:dyDescent="0.2">
      <c r="A336" s="145"/>
      <c r="B336" s="156">
        <v>3299</v>
      </c>
      <c r="C336" s="156" t="s">
        <v>229</v>
      </c>
      <c r="D336" s="157">
        <v>53082</v>
      </c>
      <c r="E336" s="160">
        <v>350</v>
      </c>
      <c r="F336" s="159">
        <v>87.49</v>
      </c>
      <c r="G336" s="161">
        <f t="shared" si="9"/>
        <v>24.997142857142858</v>
      </c>
    </row>
    <row r="337" spans="1:7" ht="21.75" customHeight="1" x14ac:dyDescent="0.2">
      <c r="A337" s="145"/>
      <c r="B337" s="141" t="s">
        <v>236</v>
      </c>
      <c r="C337" s="141" t="s">
        <v>237</v>
      </c>
      <c r="D337" s="142"/>
      <c r="E337" s="143">
        <f>E338</f>
        <v>350</v>
      </c>
      <c r="F337" s="143">
        <f>F338</f>
        <v>134.38</v>
      </c>
      <c r="G337" s="144">
        <f t="shared" si="9"/>
        <v>38.394285714285715</v>
      </c>
    </row>
    <row r="338" spans="1:7" ht="21.75" customHeight="1" x14ac:dyDescent="0.2">
      <c r="A338" s="145"/>
      <c r="B338" s="141" t="s">
        <v>238</v>
      </c>
      <c r="C338" s="211" t="s">
        <v>163</v>
      </c>
      <c r="D338" s="142"/>
      <c r="E338" s="143">
        <f>E339</f>
        <v>350</v>
      </c>
      <c r="F338" s="143">
        <f>F339</f>
        <v>134.38</v>
      </c>
      <c r="G338" s="144">
        <f t="shared" si="9"/>
        <v>38.394285714285715</v>
      </c>
    </row>
    <row r="339" spans="1:7" ht="21.75" customHeight="1" x14ac:dyDescent="0.2">
      <c r="A339" s="145"/>
      <c r="B339" s="146" t="s">
        <v>302</v>
      </c>
      <c r="C339" s="146" t="s">
        <v>164</v>
      </c>
      <c r="D339" s="147" t="s">
        <v>250</v>
      </c>
      <c r="E339" s="150">
        <v>350</v>
      </c>
      <c r="F339" s="149">
        <v>134.38</v>
      </c>
      <c r="G339" s="151">
        <f t="shared" si="9"/>
        <v>38.394285714285715</v>
      </c>
    </row>
    <row r="340" spans="1:7" ht="21.75" customHeight="1" x14ac:dyDescent="0.2">
      <c r="A340" s="145"/>
      <c r="B340" s="137" t="s">
        <v>282</v>
      </c>
      <c r="C340" s="137" t="s">
        <v>168</v>
      </c>
      <c r="D340" s="157"/>
      <c r="E340" s="202">
        <f t="shared" ref="E340:F342" si="10">E341</f>
        <v>200</v>
      </c>
      <c r="F340" s="202">
        <f t="shared" si="10"/>
        <v>192.61</v>
      </c>
      <c r="G340" s="166">
        <f t="shared" si="9"/>
        <v>96.305000000000007</v>
      </c>
    </row>
    <row r="341" spans="1:7" ht="21.75" customHeight="1" x14ac:dyDescent="0.2">
      <c r="A341" s="145"/>
      <c r="B341" s="141" t="s">
        <v>283</v>
      </c>
      <c r="C341" s="141" t="s">
        <v>284</v>
      </c>
      <c r="D341" s="157"/>
      <c r="E341" s="202">
        <f t="shared" si="10"/>
        <v>200</v>
      </c>
      <c r="F341" s="202">
        <f t="shared" si="10"/>
        <v>192.61</v>
      </c>
      <c r="G341" s="166">
        <f t="shared" si="9"/>
        <v>96.305000000000007</v>
      </c>
    </row>
    <row r="342" spans="1:7" ht="21.75" customHeight="1" x14ac:dyDescent="0.2">
      <c r="A342" s="145"/>
      <c r="B342" s="141" t="s">
        <v>285</v>
      </c>
      <c r="C342" s="141" t="s">
        <v>172</v>
      </c>
      <c r="D342" s="157"/>
      <c r="E342" s="160">
        <f t="shared" si="10"/>
        <v>200</v>
      </c>
      <c r="F342" s="160">
        <f t="shared" si="10"/>
        <v>192.61</v>
      </c>
      <c r="G342" s="161">
        <f t="shared" si="9"/>
        <v>96.305000000000007</v>
      </c>
    </row>
    <row r="343" spans="1:7" ht="21.75" customHeight="1" x14ac:dyDescent="0.2">
      <c r="A343" s="145"/>
      <c r="B343" s="156">
        <v>4225</v>
      </c>
      <c r="C343" s="156" t="s">
        <v>313</v>
      </c>
      <c r="D343" s="157">
        <v>53082</v>
      </c>
      <c r="E343" s="160">
        <v>200</v>
      </c>
      <c r="F343" s="159">
        <v>192.61</v>
      </c>
      <c r="G343" s="161">
        <f t="shared" si="9"/>
        <v>96.305000000000007</v>
      </c>
    </row>
    <row r="344" spans="1:7" ht="21.75" customHeight="1" x14ac:dyDescent="0.2">
      <c r="A344" s="133" t="s">
        <v>314</v>
      </c>
      <c r="B344" s="270" t="s">
        <v>315</v>
      </c>
      <c r="C344" s="271"/>
      <c r="D344" s="134"/>
      <c r="E344" s="135">
        <f t="shared" ref="E344:F347" si="11">E345</f>
        <v>2000</v>
      </c>
      <c r="F344" s="135">
        <f t="shared" si="11"/>
        <v>2026.05</v>
      </c>
      <c r="G344" s="136">
        <f t="shared" si="9"/>
        <v>101.30250000000001</v>
      </c>
    </row>
    <row r="345" spans="1:7" ht="21.75" customHeight="1" x14ac:dyDescent="0.2">
      <c r="A345" s="137"/>
      <c r="B345" s="137" t="s">
        <v>205</v>
      </c>
      <c r="C345" s="137" t="s">
        <v>101</v>
      </c>
      <c r="D345" s="138"/>
      <c r="E345" s="139">
        <f t="shared" si="11"/>
        <v>2000</v>
      </c>
      <c r="F345" s="139">
        <f t="shared" si="11"/>
        <v>2026.05</v>
      </c>
      <c r="G345" s="140">
        <f t="shared" si="9"/>
        <v>101.30250000000001</v>
      </c>
    </row>
    <row r="346" spans="1:7" ht="21.75" customHeight="1" x14ac:dyDescent="0.2">
      <c r="A346" s="137"/>
      <c r="B346" s="141" t="s">
        <v>236</v>
      </c>
      <c r="C346" s="141" t="s">
        <v>237</v>
      </c>
      <c r="D346" s="142"/>
      <c r="E346" s="143">
        <f t="shared" si="11"/>
        <v>2000</v>
      </c>
      <c r="F346" s="143">
        <f t="shared" si="11"/>
        <v>2026.05</v>
      </c>
      <c r="G346" s="144">
        <f t="shared" si="9"/>
        <v>101.30250000000001</v>
      </c>
    </row>
    <row r="347" spans="1:7" ht="21.75" customHeight="1" x14ac:dyDescent="0.2">
      <c r="A347" s="137"/>
      <c r="B347" s="141" t="s">
        <v>238</v>
      </c>
      <c r="C347" s="211" t="s">
        <v>163</v>
      </c>
      <c r="D347" s="142"/>
      <c r="E347" s="143">
        <f t="shared" si="11"/>
        <v>2000</v>
      </c>
      <c r="F347" s="143">
        <f t="shared" si="11"/>
        <v>2026.05</v>
      </c>
      <c r="G347" s="144">
        <f t="shared" si="9"/>
        <v>101.30250000000001</v>
      </c>
    </row>
    <row r="348" spans="1:7" ht="21.75" customHeight="1" x14ac:dyDescent="0.2">
      <c r="A348" s="145"/>
      <c r="B348" s="156" t="s">
        <v>302</v>
      </c>
      <c r="C348" s="156" t="s">
        <v>164</v>
      </c>
      <c r="D348" s="157" t="s">
        <v>250</v>
      </c>
      <c r="E348" s="160">
        <v>2000</v>
      </c>
      <c r="F348" s="159">
        <v>2026.05</v>
      </c>
      <c r="G348" s="161">
        <f t="shared" si="9"/>
        <v>101.30250000000001</v>
      </c>
    </row>
    <row r="349" spans="1:7" ht="21.75" customHeight="1" x14ac:dyDescent="0.2">
      <c r="A349" s="133" t="s">
        <v>316</v>
      </c>
      <c r="B349" s="270" t="s">
        <v>317</v>
      </c>
      <c r="C349" s="271"/>
      <c r="D349" s="134"/>
      <c r="E349" s="135">
        <f t="shared" ref="E349:F351" si="12">E350</f>
        <v>13600</v>
      </c>
      <c r="F349" s="135">
        <f t="shared" si="12"/>
        <v>16441.16</v>
      </c>
      <c r="G349" s="136">
        <f t="shared" si="9"/>
        <v>120.89088235294116</v>
      </c>
    </row>
    <row r="350" spans="1:7" ht="21.75" customHeight="1" x14ac:dyDescent="0.2">
      <c r="A350" s="137"/>
      <c r="B350" s="137" t="s">
        <v>205</v>
      </c>
      <c r="C350" s="137" t="s">
        <v>101</v>
      </c>
      <c r="D350" s="138"/>
      <c r="E350" s="139">
        <f t="shared" si="12"/>
        <v>13600</v>
      </c>
      <c r="F350" s="139">
        <f t="shared" si="12"/>
        <v>16441.16</v>
      </c>
      <c r="G350" s="140">
        <f t="shared" si="9"/>
        <v>120.89088235294116</v>
      </c>
    </row>
    <row r="351" spans="1:7" ht="21.75" customHeight="1" x14ac:dyDescent="0.2">
      <c r="A351" s="137"/>
      <c r="B351" s="141" t="s">
        <v>206</v>
      </c>
      <c r="C351" s="141" t="s">
        <v>112</v>
      </c>
      <c r="D351" s="142"/>
      <c r="E351" s="143">
        <f t="shared" si="12"/>
        <v>13600</v>
      </c>
      <c r="F351" s="143">
        <f t="shared" si="12"/>
        <v>16441.16</v>
      </c>
      <c r="G351" s="144">
        <f t="shared" si="9"/>
        <v>120.89088235294116</v>
      </c>
    </row>
    <row r="352" spans="1:7" ht="21.75" customHeight="1" x14ac:dyDescent="0.2">
      <c r="A352" s="137"/>
      <c r="B352" s="141" t="s">
        <v>220</v>
      </c>
      <c r="C352" s="141" t="s">
        <v>130</v>
      </c>
      <c r="D352" s="142"/>
      <c r="E352" s="143">
        <f>E353+E354</f>
        <v>13600</v>
      </c>
      <c r="F352" s="143">
        <f>F353+F354</f>
        <v>16441.16</v>
      </c>
      <c r="G352" s="144">
        <f t="shared" si="9"/>
        <v>120.89088235294116</v>
      </c>
    </row>
    <row r="353" spans="1:14" ht="21.75" customHeight="1" x14ac:dyDescent="0.2">
      <c r="A353" s="145"/>
      <c r="B353" s="146" t="s">
        <v>131</v>
      </c>
      <c r="C353" s="146" t="s">
        <v>132</v>
      </c>
      <c r="D353" s="147" t="s">
        <v>280</v>
      </c>
      <c r="E353" s="150">
        <v>10000</v>
      </c>
      <c r="F353" s="149">
        <v>12733.56</v>
      </c>
      <c r="G353" s="151">
        <f t="shared" si="9"/>
        <v>127.3356</v>
      </c>
    </row>
    <row r="354" spans="1:14" ht="21.75" customHeight="1" x14ac:dyDescent="0.2">
      <c r="A354" s="145"/>
      <c r="B354" s="146">
        <v>3239</v>
      </c>
      <c r="C354" s="146" t="s">
        <v>144</v>
      </c>
      <c r="D354" s="147">
        <v>47300</v>
      </c>
      <c r="E354" s="150">
        <v>3600</v>
      </c>
      <c r="F354" s="149">
        <v>3707.6</v>
      </c>
      <c r="G354" s="151">
        <f t="shared" si="9"/>
        <v>102.98888888888888</v>
      </c>
    </row>
    <row r="355" spans="1:14" ht="21.75" customHeight="1" x14ac:dyDescent="0.2">
      <c r="A355" s="133" t="s">
        <v>318</v>
      </c>
      <c r="B355" s="270" t="s">
        <v>319</v>
      </c>
      <c r="C355" s="271"/>
      <c r="D355" s="134"/>
      <c r="E355" s="135">
        <f>E356</f>
        <v>265.45</v>
      </c>
      <c r="F355" s="135">
        <f>F356</f>
        <v>330</v>
      </c>
      <c r="G355" s="136">
        <f t="shared" si="9"/>
        <v>124.31719721228103</v>
      </c>
    </row>
    <row r="356" spans="1:14" ht="21.75" customHeight="1" x14ac:dyDescent="0.2">
      <c r="A356" s="137"/>
      <c r="B356" s="137" t="s">
        <v>205</v>
      </c>
      <c r="C356" s="137" t="s">
        <v>101</v>
      </c>
      <c r="D356" s="138"/>
      <c r="E356" s="139">
        <f>E357</f>
        <v>265.45</v>
      </c>
      <c r="F356" s="139">
        <f>F357</f>
        <v>330</v>
      </c>
      <c r="G356" s="140">
        <f t="shared" si="9"/>
        <v>124.31719721228103</v>
      </c>
    </row>
    <row r="357" spans="1:14" ht="21.75" customHeight="1" x14ac:dyDescent="0.2">
      <c r="A357" s="137"/>
      <c r="B357" s="141" t="s">
        <v>206</v>
      </c>
      <c r="C357" s="141" t="s">
        <v>112</v>
      </c>
      <c r="D357" s="142"/>
      <c r="E357" s="143">
        <f>SUM(E358,E361)</f>
        <v>265.45</v>
      </c>
      <c r="F357" s="143">
        <f>SUM(F358,F361)</f>
        <v>330</v>
      </c>
      <c r="G357" s="144">
        <f t="shared" si="9"/>
        <v>124.31719721228103</v>
      </c>
    </row>
    <row r="358" spans="1:14" ht="21.75" customHeight="1" x14ac:dyDescent="0.2">
      <c r="A358" s="137"/>
      <c r="B358" s="141" t="s">
        <v>213</v>
      </c>
      <c r="C358" s="141" t="s">
        <v>214</v>
      </c>
      <c r="D358" s="142"/>
      <c r="E358" s="143">
        <f>E360</f>
        <v>0</v>
      </c>
      <c r="F358" s="143">
        <f>F360+F359</f>
        <v>330</v>
      </c>
      <c r="G358" s="144" t="e">
        <f t="shared" si="9"/>
        <v>#DIV/0!</v>
      </c>
    </row>
    <row r="359" spans="1:14" ht="21.75" customHeight="1" x14ac:dyDescent="0.2">
      <c r="A359" s="137"/>
      <c r="B359" s="146" t="s">
        <v>121</v>
      </c>
      <c r="C359" s="146" t="s">
        <v>291</v>
      </c>
      <c r="D359" s="147">
        <v>55043</v>
      </c>
      <c r="E359" s="148">
        <v>0</v>
      </c>
      <c r="F359" s="148">
        <v>137.49</v>
      </c>
      <c r="G359" s="151" t="e">
        <f t="shared" si="9"/>
        <v>#DIV/0!</v>
      </c>
    </row>
    <row r="360" spans="1:14" ht="21.75" customHeight="1" x14ac:dyDescent="0.2">
      <c r="A360" s="145"/>
      <c r="B360" s="146" t="s">
        <v>218</v>
      </c>
      <c r="C360" s="146" t="s">
        <v>128</v>
      </c>
      <c r="D360" s="147" t="s">
        <v>281</v>
      </c>
      <c r="E360" s="150">
        <v>0</v>
      </c>
      <c r="F360" s="149">
        <v>192.51</v>
      </c>
      <c r="G360" s="151" t="e">
        <f t="shared" si="9"/>
        <v>#DIV/0!</v>
      </c>
    </row>
    <row r="361" spans="1:14" ht="21.75" customHeight="1" x14ac:dyDescent="0.2">
      <c r="A361" s="137"/>
      <c r="B361" s="141" t="s">
        <v>220</v>
      </c>
      <c r="C361" s="141" t="s">
        <v>130</v>
      </c>
      <c r="D361" s="142"/>
      <c r="E361" s="143">
        <f>E362</f>
        <v>265.45</v>
      </c>
      <c r="F361" s="143">
        <f>F362</f>
        <v>0</v>
      </c>
      <c r="G361" s="144">
        <f t="shared" si="9"/>
        <v>0</v>
      </c>
    </row>
    <row r="362" spans="1:14" ht="21.75" customHeight="1" x14ac:dyDescent="0.2">
      <c r="A362" s="145"/>
      <c r="B362" s="156" t="s">
        <v>131</v>
      </c>
      <c r="C362" s="156" t="s">
        <v>132</v>
      </c>
      <c r="D362" s="157" t="s">
        <v>281</v>
      </c>
      <c r="E362" s="160">
        <v>265.45</v>
      </c>
      <c r="F362" s="159">
        <v>0</v>
      </c>
      <c r="G362" s="161">
        <f t="shared" si="9"/>
        <v>0</v>
      </c>
    </row>
    <row r="363" spans="1:14" ht="21.75" customHeight="1" x14ac:dyDescent="0.2">
      <c r="A363" s="133" t="s">
        <v>320</v>
      </c>
      <c r="B363" s="270" t="s">
        <v>321</v>
      </c>
      <c r="C363" s="271"/>
      <c r="D363" s="134"/>
      <c r="E363" s="135">
        <f>E364</f>
        <v>926.06</v>
      </c>
      <c r="F363" s="135">
        <f>F364</f>
        <v>929.06</v>
      </c>
      <c r="G363" s="136">
        <f t="shared" si="9"/>
        <v>100.32395309159234</v>
      </c>
    </row>
    <row r="364" spans="1:14" ht="21.75" customHeight="1" x14ac:dyDescent="0.2">
      <c r="A364" s="137"/>
      <c r="B364" s="137" t="s">
        <v>205</v>
      </c>
      <c r="C364" s="137" t="s">
        <v>101</v>
      </c>
      <c r="D364" s="138"/>
      <c r="E364" s="139">
        <f>E365</f>
        <v>926.06</v>
      </c>
      <c r="F364" s="139">
        <f>F365</f>
        <v>929.06</v>
      </c>
      <c r="G364" s="140">
        <f t="shared" si="9"/>
        <v>100.32395309159234</v>
      </c>
    </row>
    <row r="365" spans="1:14" ht="21.75" customHeight="1" x14ac:dyDescent="0.2">
      <c r="A365" s="137"/>
      <c r="B365" s="141" t="s">
        <v>206</v>
      </c>
      <c r="C365" s="141" t="s">
        <v>112</v>
      </c>
      <c r="D365" s="142"/>
      <c r="E365" s="143">
        <f>SUM(E366,E368,E373)</f>
        <v>926.06</v>
      </c>
      <c r="F365" s="143">
        <f>SUM(F366,F368,F373)</f>
        <v>929.06</v>
      </c>
      <c r="G365" s="144">
        <f t="shared" si="9"/>
        <v>100.32395309159234</v>
      </c>
    </row>
    <row r="366" spans="1:14" ht="21.75" customHeight="1" x14ac:dyDescent="0.2">
      <c r="A366" s="137"/>
      <c r="B366" s="141" t="s">
        <v>213</v>
      </c>
      <c r="C366" s="141" t="s">
        <v>214</v>
      </c>
      <c r="D366" s="142"/>
      <c r="E366" s="143">
        <f>E367</f>
        <v>687.16</v>
      </c>
      <c r="F366" s="143">
        <f>F367</f>
        <v>690.16</v>
      </c>
      <c r="G366" s="144">
        <f t="shared" si="9"/>
        <v>100.43657954479306</v>
      </c>
    </row>
    <row r="367" spans="1:14" ht="21.75" customHeight="1" x14ac:dyDescent="0.2">
      <c r="A367" s="145"/>
      <c r="B367" s="146" t="s">
        <v>121</v>
      </c>
      <c r="C367" s="146" t="s">
        <v>122</v>
      </c>
      <c r="D367" s="147" t="s">
        <v>261</v>
      </c>
      <c r="E367" s="150">
        <v>687.16</v>
      </c>
      <c r="F367" s="149">
        <v>690.16</v>
      </c>
      <c r="G367" s="151">
        <f t="shared" ref="G367:G385" si="13">F367/E367*100</f>
        <v>100.43657954479306</v>
      </c>
      <c r="N367" s="232"/>
    </row>
    <row r="368" spans="1:14" ht="21.75" customHeight="1" x14ac:dyDescent="0.2">
      <c r="A368" s="137"/>
      <c r="B368" s="141" t="s">
        <v>220</v>
      </c>
      <c r="C368" s="141" t="s">
        <v>130</v>
      </c>
      <c r="D368" s="142"/>
      <c r="E368" s="143">
        <f>SUM(E369:E370)</f>
        <v>238.9</v>
      </c>
      <c r="F368" s="143">
        <f>SUM(F369:F370)</f>
        <v>238.9</v>
      </c>
      <c r="G368" s="144">
        <f t="shared" si="13"/>
        <v>100</v>
      </c>
    </row>
    <row r="369" spans="1:7" ht="21.75" customHeight="1" x14ac:dyDescent="0.2">
      <c r="A369" s="145"/>
      <c r="B369" s="146" t="s">
        <v>131</v>
      </c>
      <c r="C369" s="146" t="s">
        <v>132</v>
      </c>
      <c r="D369" s="147" t="s">
        <v>261</v>
      </c>
      <c r="E369" s="150">
        <v>238.9</v>
      </c>
      <c r="F369" s="149">
        <v>238.9</v>
      </c>
      <c r="G369" s="151">
        <f t="shared" si="13"/>
        <v>100</v>
      </c>
    </row>
    <row r="370" spans="1:7" ht="21.75" customHeight="1" x14ac:dyDescent="0.2">
      <c r="A370" s="145"/>
      <c r="B370" s="146">
        <v>3239</v>
      </c>
      <c r="C370" s="146" t="s">
        <v>144</v>
      </c>
      <c r="D370" s="147" t="s">
        <v>261</v>
      </c>
      <c r="E370" s="150">
        <v>0</v>
      </c>
      <c r="F370" s="149">
        <v>0</v>
      </c>
      <c r="G370" s="151" t="e">
        <f t="shared" si="13"/>
        <v>#DIV/0!</v>
      </c>
    </row>
    <row r="371" spans="1:7" ht="21.75" customHeight="1" x14ac:dyDescent="0.2">
      <c r="A371" s="145"/>
      <c r="B371" s="141" t="s">
        <v>282</v>
      </c>
      <c r="C371" s="141" t="s">
        <v>168</v>
      </c>
      <c r="D371" s="142"/>
      <c r="E371" s="143">
        <f t="shared" ref="E371:F373" si="14">E372</f>
        <v>0</v>
      </c>
      <c r="F371" s="143">
        <f t="shared" si="14"/>
        <v>0</v>
      </c>
      <c r="G371" s="144" t="e">
        <f t="shared" si="13"/>
        <v>#DIV/0!</v>
      </c>
    </row>
    <row r="372" spans="1:7" ht="21.75" customHeight="1" x14ac:dyDescent="0.2">
      <c r="A372" s="145"/>
      <c r="B372" s="141" t="s">
        <v>283</v>
      </c>
      <c r="C372" s="141" t="s">
        <v>284</v>
      </c>
      <c r="D372" s="142"/>
      <c r="E372" s="143">
        <f t="shared" si="14"/>
        <v>0</v>
      </c>
      <c r="F372" s="143">
        <f t="shared" si="14"/>
        <v>0</v>
      </c>
      <c r="G372" s="144" t="e">
        <f t="shared" si="13"/>
        <v>#DIV/0!</v>
      </c>
    </row>
    <row r="373" spans="1:7" ht="21.75" customHeight="1" x14ac:dyDescent="0.2">
      <c r="A373" s="137"/>
      <c r="B373" s="141">
        <v>422</v>
      </c>
      <c r="C373" s="141" t="s">
        <v>172</v>
      </c>
      <c r="D373" s="142"/>
      <c r="E373" s="143">
        <f t="shared" si="14"/>
        <v>0</v>
      </c>
      <c r="F373" s="143">
        <f t="shared" si="14"/>
        <v>0</v>
      </c>
      <c r="G373" s="144" t="e">
        <f t="shared" si="13"/>
        <v>#DIV/0!</v>
      </c>
    </row>
    <row r="374" spans="1:7" ht="21.75" customHeight="1" x14ac:dyDescent="0.2">
      <c r="A374" s="145"/>
      <c r="B374" s="156">
        <v>4226</v>
      </c>
      <c r="C374" s="156" t="s">
        <v>179</v>
      </c>
      <c r="D374" s="157" t="s">
        <v>261</v>
      </c>
      <c r="E374" s="160">
        <v>0</v>
      </c>
      <c r="F374" s="159">
        <v>0</v>
      </c>
      <c r="G374" s="161" t="e">
        <f t="shared" si="13"/>
        <v>#DIV/0!</v>
      </c>
    </row>
    <row r="375" spans="1:7" ht="21.75" customHeight="1" x14ac:dyDescent="0.2">
      <c r="A375" s="133" t="s">
        <v>322</v>
      </c>
      <c r="B375" s="270" t="s">
        <v>323</v>
      </c>
      <c r="C375" s="271"/>
      <c r="D375" s="134"/>
      <c r="E375" s="135">
        <f t="shared" ref="E375:F378" si="15">E376</f>
        <v>0</v>
      </c>
      <c r="F375" s="135">
        <f t="shared" si="15"/>
        <v>0</v>
      </c>
      <c r="G375" s="136" t="e">
        <f t="shared" si="13"/>
        <v>#DIV/0!</v>
      </c>
    </row>
    <row r="376" spans="1:7" ht="21.75" customHeight="1" x14ac:dyDescent="0.2">
      <c r="A376" s="137"/>
      <c r="B376" s="137" t="s">
        <v>205</v>
      </c>
      <c r="C376" s="137" t="s">
        <v>101</v>
      </c>
      <c r="D376" s="138"/>
      <c r="E376" s="139">
        <f t="shared" si="15"/>
        <v>0</v>
      </c>
      <c r="F376" s="139">
        <f t="shared" si="15"/>
        <v>0</v>
      </c>
      <c r="G376" s="140" t="e">
        <f t="shared" si="13"/>
        <v>#DIV/0!</v>
      </c>
    </row>
    <row r="377" spans="1:7" ht="21.75" customHeight="1" x14ac:dyDescent="0.2">
      <c r="A377" s="137"/>
      <c r="B377" s="141" t="s">
        <v>206</v>
      </c>
      <c r="C377" s="141" t="s">
        <v>112</v>
      </c>
      <c r="D377" s="142"/>
      <c r="E377" s="143">
        <f t="shared" si="15"/>
        <v>0</v>
      </c>
      <c r="F377" s="143">
        <f t="shared" si="15"/>
        <v>0</v>
      </c>
      <c r="G377" s="144" t="e">
        <f t="shared" si="13"/>
        <v>#DIV/0!</v>
      </c>
    </row>
    <row r="378" spans="1:7" ht="21.75" customHeight="1" x14ac:dyDescent="0.2">
      <c r="A378" s="137"/>
      <c r="B378" s="141" t="s">
        <v>213</v>
      </c>
      <c r="C378" s="141" t="s">
        <v>214</v>
      </c>
      <c r="D378" s="142"/>
      <c r="E378" s="143">
        <f t="shared" si="15"/>
        <v>0</v>
      </c>
      <c r="F378" s="143">
        <f t="shared" si="15"/>
        <v>0</v>
      </c>
      <c r="G378" s="144" t="e">
        <f t="shared" si="13"/>
        <v>#DIV/0!</v>
      </c>
    </row>
    <row r="379" spans="1:7" ht="21.75" customHeight="1" x14ac:dyDescent="0.2">
      <c r="A379" s="145"/>
      <c r="B379" s="156" t="s">
        <v>215</v>
      </c>
      <c r="C379" s="156" t="s">
        <v>123</v>
      </c>
      <c r="D379" s="157" t="s">
        <v>324</v>
      </c>
      <c r="E379" s="160">
        <v>0</v>
      </c>
      <c r="F379" s="159">
        <v>0</v>
      </c>
      <c r="G379" s="161" t="e">
        <f t="shared" si="13"/>
        <v>#DIV/0!</v>
      </c>
    </row>
    <row r="380" spans="1:7" ht="21.75" customHeight="1" x14ac:dyDescent="0.2">
      <c r="A380" s="133" t="s">
        <v>325</v>
      </c>
      <c r="B380" s="270" t="s">
        <v>326</v>
      </c>
      <c r="C380" s="271"/>
      <c r="D380" s="134"/>
      <c r="E380" s="135">
        <f t="shared" ref="E380:F383" si="16">E381</f>
        <v>5473.2</v>
      </c>
      <c r="F380" s="135">
        <f t="shared" si="16"/>
        <v>5089.97</v>
      </c>
      <c r="G380" s="136">
        <f t="shared" si="13"/>
        <v>92.998063290214134</v>
      </c>
    </row>
    <row r="381" spans="1:7" ht="21.75" customHeight="1" x14ac:dyDescent="0.2">
      <c r="A381" s="137"/>
      <c r="B381" s="167" t="s">
        <v>205</v>
      </c>
      <c r="C381" s="167" t="s">
        <v>101</v>
      </c>
      <c r="D381" s="168"/>
      <c r="E381" s="169">
        <f t="shared" si="16"/>
        <v>5473.2</v>
      </c>
      <c r="F381" s="169">
        <f t="shared" si="16"/>
        <v>5089.97</v>
      </c>
      <c r="G381" s="170">
        <f t="shared" si="13"/>
        <v>92.998063290214134</v>
      </c>
    </row>
    <row r="382" spans="1:7" ht="21.75" customHeight="1" x14ac:dyDescent="0.2">
      <c r="A382" s="137"/>
      <c r="B382" s="141" t="s">
        <v>206</v>
      </c>
      <c r="C382" s="141" t="s">
        <v>112</v>
      </c>
      <c r="D382" s="142"/>
      <c r="E382" s="143">
        <f t="shared" si="16"/>
        <v>5473.2</v>
      </c>
      <c r="F382" s="143">
        <f t="shared" si="16"/>
        <v>5089.97</v>
      </c>
      <c r="G382" s="144">
        <f t="shared" si="13"/>
        <v>92.998063290214134</v>
      </c>
    </row>
    <row r="383" spans="1:7" ht="21.75" customHeight="1" x14ac:dyDescent="0.2">
      <c r="A383" s="137"/>
      <c r="B383" s="141" t="s">
        <v>213</v>
      </c>
      <c r="C383" s="141" t="s">
        <v>214</v>
      </c>
      <c r="D383" s="142"/>
      <c r="E383" s="143">
        <f t="shared" si="16"/>
        <v>5473.2</v>
      </c>
      <c r="F383" s="143">
        <f t="shared" si="16"/>
        <v>5089.97</v>
      </c>
      <c r="G383" s="144">
        <f t="shared" si="13"/>
        <v>92.998063290214134</v>
      </c>
    </row>
    <row r="384" spans="1:7" ht="21.75" customHeight="1" x14ac:dyDescent="0.2">
      <c r="A384" s="145"/>
      <c r="B384" s="156" t="s">
        <v>215</v>
      </c>
      <c r="C384" s="156" t="s">
        <v>123</v>
      </c>
      <c r="D384" s="157" t="s">
        <v>327</v>
      </c>
      <c r="E384" s="160">
        <v>5473.2</v>
      </c>
      <c r="F384" s="230">
        <v>5089.97</v>
      </c>
      <c r="G384" s="161">
        <f t="shared" si="13"/>
        <v>92.998063290214134</v>
      </c>
    </row>
    <row r="385" spans="1:7" ht="21.75" customHeight="1" x14ac:dyDescent="0.2">
      <c r="A385" s="171" t="s">
        <v>328</v>
      </c>
      <c r="B385" s="282" t="s">
        <v>263</v>
      </c>
      <c r="C385" s="273"/>
      <c r="D385" s="172"/>
      <c r="E385" s="173">
        <f>E387+E394+E399+E404</f>
        <v>105871.1</v>
      </c>
      <c r="F385" s="173">
        <f>F387+F394+F399+F404</f>
        <v>105926.05</v>
      </c>
      <c r="G385" s="174">
        <f t="shared" si="13"/>
        <v>100.05190273832991</v>
      </c>
    </row>
    <row r="386" spans="1:7" ht="21.75" customHeight="1" x14ac:dyDescent="0.2">
      <c r="A386" s="175"/>
      <c r="B386" s="268"/>
      <c r="C386" s="269"/>
      <c r="D386" s="176"/>
      <c r="E386" s="177"/>
      <c r="F386" s="177"/>
      <c r="G386" s="178"/>
    </row>
    <row r="387" spans="1:7" ht="21.75" customHeight="1" x14ac:dyDescent="0.2">
      <c r="A387" s="133" t="s">
        <v>329</v>
      </c>
      <c r="B387" s="270" t="s">
        <v>330</v>
      </c>
      <c r="C387" s="271"/>
      <c r="D387" s="134"/>
      <c r="E387" s="135">
        <f t="shared" ref="E387:F397" si="17">E388</f>
        <v>2629</v>
      </c>
      <c r="F387" s="135">
        <f t="shared" si="17"/>
        <v>2468.7000000000003</v>
      </c>
      <c r="G387" s="136">
        <f t="shared" ref="G387:G409" si="18">F387/E387*100</f>
        <v>93.902624572080654</v>
      </c>
    </row>
    <row r="388" spans="1:7" ht="21.75" customHeight="1" x14ac:dyDescent="0.2">
      <c r="A388" s="137"/>
      <c r="B388" s="137" t="s">
        <v>205</v>
      </c>
      <c r="C388" s="137" t="s">
        <v>101</v>
      </c>
      <c r="D388" s="138"/>
      <c r="E388" s="139">
        <f>E389</f>
        <v>2629</v>
      </c>
      <c r="F388" s="139">
        <f t="shared" si="17"/>
        <v>2468.7000000000003</v>
      </c>
      <c r="G388" s="140">
        <f t="shared" si="18"/>
        <v>93.902624572080654</v>
      </c>
    </row>
    <row r="389" spans="1:7" ht="21.75" customHeight="1" x14ac:dyDescent="0.2">
      <c r="A389" s="137"/>
      <c r="B389" s="141">
        <v>31</v>
      </c>
      <c r="C389" s="141" t="s">
        <v>102</v>
      </c>
      <c r="D389" s="142"/>
      <c r="E389" s="143">
        <f>E390+E392</f>
        <v>2629</v>
      </c>
      <c r="F389" s="143">
        <f>F390+F392</f>
        <v>2468.7000000000003</v>
      </c>
      <c r="G389" s="144">
        <f t="shared" si="18"/>
        <v>93.902624572080654</v>
      </c>
    </row>
    <row r="390" spans="1:7" ht="21.75" customHeight="1" x14ac:dyDescent="0.2">
      <c r="A390" s="137"/>
      <c r="B390" s="141">
        <v>311</v>
      </c>
      <c r="C390" s="141" t="s">
        <v>248</v>
      </c>
      <c r="D390" s="142"/>
      <c r="E390" s="143">
        <f>E391</f>
        <v>2256.65</v>
      </c>
      <c r="F390" s="143">
        <f>F391</f>
        <v>2119.0300000000002</v>
      </c>
      <c r="G390" s="144">
        <f t="shared" si="18"/>
        <v>93.901579775330688</v>
      </c>
    </row>
    <row r="391" spans="1:7" ht="21.75" customHeight="1" x14ac:dyDescent="0.2">
      <c r="A391" s="137"/>
      <c r="B391" s="156">
        <v>3113</v>
      </c>
      <c r="C391" s="156" t="s">
        <v>105</v>
      </c>
      <c r="D391" s="157">
        <v>11001</v>
      </c>
      <c r="E391" s="158">
        <v>2256.65</v>
      </c>
      <c r="F391" s="158">
        <v>2119.0300000000002</v>
      </c>
      <c r="G391" s="161">
        <f t="shared" si="18"/>
        <v>93.901579775330688</v>
      </c>
    </row>
    <row r="392" spans="1:7" ht="21.75" customHeight="1" x14ac:dyDescent="0.2">
      <c r="A392" s="137"/>
      <c r="B392" s="162">
        <v>313</v>
      </c>
      <c r="C392" s="162" t="s">
        <v>109</v>
      </c>
      <c r="D392" s="163"/>
      <c r="E392" s="164">
        <f>E393</f>
        <v>372.35</v>
      </c>
      <c r="F392" s="164">
        <f>F393</f>
        <v>349.67</v>
      </c>
      <c r="G392" s="166">
        <f t="shared" si="18"/>
        <v>93.908956626829593</v>
      </c>
    </row>
    <row r="393" spans="1:7" ht="21.75" customHeight="1" x14ac:dyDescent="0.2">
      <c r="A393" s="145"/>
      <c r="B393" s="156">
        <v>3132</v>
      </c>
      <c r="C393" s="156" t="s">
        <v>110</v>
      </c>
      <c r="D393" s="157">
        <v>11001</v>
      </c>
      <c r="E393" s="160">
        <v>372.35</v>
      </c>
      <c r="F393" s="159">
        <v>349.67</v>
      </c>
      <c r="G393" s="161">
        <f t="shared" si="18"/>
        <v>93.908956626829593</v>
      </c>
    </row>
    <row r="394" spans="1:7" ht="21.75" customHeight="1" x14ac:dyDescent="0.2">
      <c r="A394" s="133" t="s">
        <v>331</v>
      </c>
      <c r="B394" s="270" t="s">
        <v>332</v>
      </c>
      <c r="C394" s="271"/>
      <c r="D394" s="134"/>
      <c r="E394" s="135">
        <f t="shared" si="17"/>
        <v>194</v>
      </c>
      <c r="F394" s="135">
        <f t="shared" si="17"/>
        <v>232</v>
      </c>
      <c r="G394" s="136">
        <f t="shared" si="18"/>
        <v>119.58762886597938</v>
      </c>
    </row>
    <row r="395" spans="1:7" ht="21.75" customHeight="1" x14ac:dyDescent="0.2">
      <c r="A395" s="137"/>
      <c r="B395" s="137" t="s">
        <v>205</v>
      </c>
      <c r="C395" s="137" t="s">
        <v>101</v>
      </c>
      <c r="D395" s="138"/>
      <c r="E395" s="139">
        <f t="shared" si="17"/>
        <v>194</v>
      </c>
      <c r="F395" s="139">
        <f t="shared" si="17"/>
        <v>232</v>
      </c>
      <c r="G395" s="140">
        <f t="shared" si="18"/>
        <v>119.58762886597938</v>
      </c>
    </row>
    <row r="396" spans="1:7" ht="21.75" customHeight="1" x14ac:dyDescent="0.2">
      <c r="A396" s="137"/>
      <c r="B396" s="141" t="s">
        <v>206</v>
      </c>
      <c r="C396" s="141" t="s">
        <v>112</v>
      </c>
      <c r="D396" s="142"/>
      <c r="E396" s="143">
        <f t="shared" si="17"/>
        <v>194</v>
      </c>
      <c r="F396" s="143">
        <f t="shared" si="17"/>
        <v>232</v>
      </c>
      <c r="G396" s="144">
        <f t="shared" si="18"/>
        <v>119.58762886597938</v>
      </c>
    </row>
    <row r="397" spans="1:7" ht="21.75" customHeight="1" x14ac:dyDescent="0.2">
      <c r="A397" s="137"/>
      <c r="B397" s="141" t="s">
        <v>213</v>
      </c>
      <c r="C397" s="141" t="s">
        <v>214</v>
      </c>
      <c r="D397" s="142"/>
      <c r="E397" s="143">
        <f t="shared" si="17"/>
        <v>194</v>
      </c>
      <c r="F397" s="143">
        <f t="shared" si="17"/>
        <v>232</v>
      </c>
      <c r="G397" s="144">
        <f t="shared" si="18"/>
        <v>119.58762886597938</v>
      </c>
    </row>
    <row r="398" spans="1:7" ht="21.75" customHeight="1" x14ac:dyDescent="0.2">
      <c r="A398" s="145"/>
      <c r="B398" s="156">
        <v>3222</v>
      </c>
      <c r="C398" s="146" t="s">
        <v>123</v>
      </c>
      <c r="D398" s="157">
        <v>11001</v>
      </c>
      <c r="E398" s="160">
        <v>194</v>
      </c>
      <c r="F398" s="159">
        <v>232</v>
      </c>
      <c r="G398" s="161">
        <f t="shared" si="18"/>
        <v>119.58762886597938</v>
      </c>
    </row>
    <row r="399" spans="1:7" ht="21.75" customHeight="1" x14ac:dyDescent="0.2">
      <c r="A399" s="133" t="s">
        <v>333</v>
      </c>
      <c r="B399" s="270" t="s">
        <v>334</v>
      </c>
      <c r="C399" s="271"/>
      <c r="D399" s="134"/>
      <c r="E399" s="135">
        <f t="shared" ref="E399:F401" si="19">E400</f>
        <v>102000</v>
      </c>
      <c r="F399" s="135">
        <f t="shared" si="19"/>
        <v>102177.25</v>
      </c>
      <c r="G399" s="136">
        <f t="shared" si="18"/>
        <v>100.17377450980392</v>
      </c>
    </row>
    <row r="400" spans="1:7" ht="21.75" customHeight="1" x14ac:dyDescent="0.2">
      <c r="A400" s="145"/>
      <c r="B400" s="137" t="s">
        <v>205</v>
      </c>
      <c r="C400" s="137" t="s">
        <v>101</v>
      </c>
      <c r="D400" s="157"/>
      <c r="E400" s="202">
        <f t="shared" si="19"/>
        <v>102000</v>
      </c>
      <c r="F400" s="202">
        <f t="shared" si="19"/>
        <v>102177.25</v>
      </c>
      <c r="G400" s="170">
        <f t="shared" si="18"/>
        <v>100.17377450980392</v>
      </c>
    </row>
    <row r="401" spans="1:7" ht="21.75" customHeight="1" x14ac:dyDescent="0.2">
      <c r="A401" s="145"/>
      <c r="B401" s="141" t="s">
        <v>206</v>
      </c>
      <c r="C401" s="141" t="s">
        <v>112</v>
      </c>
      <c r="D401" s="157"/>
      <c r="E401" s="202">
        <f t="shared" si="19"/>
        <v>102000</v>
      </c>
      <c r="F401" s="202">
        <f t="shared" si="19"/>
        <v>102177.25</v>
      </c>
      <c r="G401" s="170">
        <f t="shared" si="18"/>
        <v>100.17377450980392</v>
      </c>
    </row>
    <row r="402" spans="1:7" ht="21.75" customHeight="1" x14ac:dyDescent="0.2">
      <c r="A402" s="145"/>
      <c r="B402" s="141" t="s">
        <v>213</v>
      </c>
      <c r="C402" s="141" t="s">
        <v>214</v>
      </c>
      <c r="D402" s="157"/>
      <c r="E402" s="202">
        <f>SUM(E403:E403)</f>
        <v>102000</v>
      </c>
      <c r="F402" s="202">
        <f>SUM(F403:F403)</f>
        <v>102177.25</v>
      </c>
      <c r="G402" s="170">
        <f t="shared" si="18"/>
        <v>100.17377450980392</v>
      </c>
    </row>
    <row r="403" spans="1:7" ht="21.75" customHeight="1" x14ac:dyDescent="0.2">
      <c r="A403" s="145"/>
      <c r="B403" s="146" t="s">
        <v>215</v>
      </c>
      <c r="C403" s="146" t="s">
        <v>123</v>
      </c>
      <c r="D403" s="157">
        <v>53082</v>
      </c>
      <c r="E403" s="160">
        <v>102000</v>
      </c>
      <c r="F403" s="160">
        <v>102177.25</v>
      </c>
      <c r="G403" s="203">
        <f t="shared" si="18"/>
        <v>100.17377450980392</v>
      </c>
    </row>
    <row r="404" spans="1:7" ht="21.75" customHeight="1" x14ac:dyDescent="0.2">
      <c r="A404" s="133" t="s">
        <v>335</v>
      </c>
      <c r="B404" s="270" t="s">
        <v>336</v>
      </c>
      <c r="C404" s="271"/>
      <c r="D404" s="134"/>
      <c r="E404" s="135">
        <f t="shared" ref="E404:F407" si="20">E405</f>
        <v>1048.0999999999999</v>
      </c>
      <c r="F404" s="135">
        <f t="shared" si="20"/>
        <v>1048.0999999999999</v>
      </c>
      <c r="G404" s="136">
        <f t="shared" si="18"/>
        <v>100</v>
      </c>
    </row>
    <row r="405" spans="1:7" ht="21.75" customHeight="1" x14ac:dyDescent="0.2">
      <c r="A405" s="145"/>
      <c r="B405" s="137" t="s">
        <v>205</v>
      </c>
      <c r="C405" s="137" t="s">
        <v>101</v>
      </c>
      <c r="D405" s="163"/>
      <c r="E405" s="202">
        <f t="shared" si="20"/>
        <v>1048.0999999999999</v>
      </c>
      <c r="F405" s="202">
        <f t="shared" si="20"/>
        <v>1048.0999999999999</v>
      </c>
      <c r="G405" s="170">
        <f t="shared" si="18"/>
        <v>100</v>
      </c>
    </row>
    <row r="406" spans="1:7" ht="21.75" customHeight="1" x14ac:dyDescent="0.2">
      <c r="A406" s="145"/>
      <c r="B406" s="162">
        <v>38</v>
      </c>
      <c r="C406" s="141" t="s">
        <v>165</v>
      </c>
      <c r="D406" s="163"/>
      <c r="E406" s="202">
        <f t="shared" si="20"/>
        <v>1048.0999999999999</v>
      </c>
      <c r="F406" s="202">
        <f t="shared" si="20"/>
        <v>1048.0999999999999</v>
      </c>
      <c r="G406" s="170">
        <f t="shared" si="18"/>
        <v>100</v>
      </c>
    </row>
    <row r="407" spans="1:7" ht="21.75" customHeight="1" x14ac:dyDescent="0.2">
      <c r="A407" s="145"/>
      <c r="B407" s="162">
        <v>381</v>
      </c>
      <c r="C407" s="141" t="s">
        <v>166</v>
      </c>
      <c r="D407" s="163"/>
      <c r="E407" s="202">
        <f t="shared" si="20"/>
        <v>1048.0999999999999</v>
      </c>
      <c r="F407" s="202">
        <f t="shared" si="20"/>
        <v>1048.0999999999999</v>
      </c>
      <c r="G407" s="170">
        <f t="shared" si="18"/>
        <v>100</v>
      </c>
    </row>
    <row r="408" spans="1:7" ht="21.75" customHeight="1" x14ac:dyDescent="0.2">
      <c r="A408" s="145"/>
      <c r="B408" s="156">
        <v>3812</v>
      </c>
      <c r="C408" s="146" t="s">
        <v>337</v>
      </c>
      <c r="D408" s="157">
        <v>53102</v>
      </c>
      <c r="E408" s="160">
        <v>1048.0999999999999</v>
      </c>
      <c r="F408" s="159">
        <v>1048.0999999999999</v>
      </c>
      <c r="G408" s="203">
        <f t="shared" si="18"/>
        <v>100</v>
      </c>
    </row>
    <row r="409" spans="1:7" ht="21.75" customHeight="1" x14ac:dyDescent="0.2">
      <c r="A409" s="123" t="s">
        <v>338</v>
      </c>
      <c r="B409" s="278" t="s">
        <v>339</v>
      </c>
      <c r="C409" s="279"/>
      <c r="D409" s="124"/>
      <c r="E409" s="125">
        <f>SUM(E411,E417, E428)</f>
        <v>30532.87</v>
      </c>
      <c r="F409" s="125">
        <f>SUM(F411,F417, F428)</f>
        <v>55474.649999999994</v>
      </c>
      <c r="G409" s="126">
        <f t="shared" si="18"/>
        <v>181.68829199482391</v>
      </c>
    </row>
    <row r="410" spans="1:7" ht="21.75" customHeight="1" x14ac:dyDescent="0.2">
      <c r="A410" s="175"/>
      <c r="B410" s="280"/>
      <c r="C410" s="281"/>
      <c r="D410" s="176"/>
      <c r="E410" s="179"/>
      <c r="F410" s="176"/>
      <c r="G410" s="178"/>
    </row>
    <row r="411" spans="1:7" ht="21.75" customHeight="1" x14ac:dyDescent="0.2">
      <c r="A411" s="133" t="s">
        <v>340</v>
      </c>
      <c r="B411" s="270" t="s">
        <v>341</v>
      </c>
      <c r="C411" s="270"/>
      <c r="D411" s="134"/>
      <c r="E411" s="135">
        <f t="shared" ref="E411:F413" si="21">E412</f>
        <v>14789.74</v>
      </c>
      <c r="F411" s="135">
        <f t="shared" si="21"/>
        <v>6474.99</v>
      </c>
      <c r="G411" s="136">
        <f t="shared" ref="G411:G434" si="22">F411/E411*100</f>
        <v>43.780282817683073</v>
      </c>
    </row>
    <row r="412" spans="1:7" ht="21.75" customHeight="1" x14ac:dyDescent="0.2">
      <c r="A412" s="137"/>
      <c r="B412" s="137" t="s">
        <v>205</v>
      </c>
      <c r="C412" s="137" t="s">
        <v>101</v>
      </c>
      <c r="D412" s="138"/>
      <c r="E412" s="139">
        <f t="shared" si="21"/>
        <v>14789.74</v>
      </c>
      <c r="F412" s="139">
        <f t="shared" si="21"/>
        <v>6474.99</v>
      </c>
      <c r="G412" s="140">
        <f t="shared" si="22"/>
        <v>43.780282817683073</v>
      </c>
    </row>
    <row r="413" spans="1:7" ht="21.75" customHeight="1" x14ac:dyDescent="0.2">
      <c r="A413" s="137"/>
      <c r="B413" s="141" t="s">
        <v>206</v>
      </c>
      <c r="C413" s="141" t="s">
        <v>112</v>
      </c>
      <c r="D413" s="142"/>
      <c r="E413" s="143">
        <f t="shared" si="21"/>
        <v>14789.74</v>
      </c>
      <c r="F413" s="143">
        <f t="shared" si="21"/>
        <v>6474.99</v>
      </c>
      <c r="G413" s="144">
        <f t="shared" si="22"/>
        <v>43.780282817683073</v>
      </c>
    </row>
    <row r="414" spans="1:7" ht="21.75" customHeight="1" x14ac:dyDescent="0.2">
      <c r="A414" s="137"/>
      <c r="B414" s="141" t="s">
        <v>220</v>
      </c>
      <c r="C414" s="141" t="s">
        <v>130</v>
      </c>
      <c r="D414" s="142"/>
      <c r="E414" s="143">
        <f>SUM(E415:E416)</f>
        <v>14789.74</v>
      </c>
      <c r="F414" s="143">
        <f>SUM(F415:F416)</f>
        <v>6474.99</v>
      </c>
      <c r="G414" s="144">
        <f t="shared" si="22"/>
        <v>43.780282817683073</v>
      </c>
    </row>
    <row r="415" spans="1:7" ht="21.75" customHeight="1" x14ac:dyDescent="0.2">
      <c r="A415" s="137"/>
      <c r="B415" s="156">
        <v>3232</v>
      </c>
      <c r="C415" s="156" t="s">
        <v>134</v>
      </c>
      <c r="D415" s="157">
        <v>48005</v>
      </c>
      <c r="E415" s="158">
        <v>14209.08</v>
      </c>
      <c r="F415" s="158">
        <v>5894.33</v>
      </c>
      <c r="G415" s="161">
        <f t="shared" si="22"/>
        <v>41.482840549845591</v>
      </c>
    </row>
    <row r="416" spans="1:7" ht="21.75" customHeight="1" x14ac:dyDescent="0.2">
      <c r="A416" s="145"/>
      <c r="B416" s="156">
        <v>3237</v>
      </c>
      <c r="C416" s="156" t="s">
        <v>140</v>
      </c>
      <c r="D416" s="157" t="s">
        <v>208</v>
      </c>
      <c r="E416" s="160">
        <v>580.66</v>
      </c>
      <c r="F416" s="159">
        <v>580.66</v>
      </c>
      <c r="G416" s="161">
        <f t="shared" si="22"/>
        <v>100</v>
      </c>
    </row>
    <row r="417" spans="1:7" ht="21.75" customHeight="1" x14ac:dyDescent="0.2">
      <c r="A417" s="133" t="s">
        <v>342</v>
      </c>
      <c r="B417" s="270" t="s">
        <v>343</v>
      </c>
      <c r="C417" s="271"/>
      <c r="D417" s="134"/>
      <c r="E417" s="135">
        <f t="shared" ref="E417:F431" si="23">E418</f>
        <v>11743.13</v>
      </c>
      <c r="F417" s="135">
        <f>F418+F423</f>
        <v>44925.009999999995</v>
      </c>
      <c r="G417" s="136">
        <f t="shared" si="22"/>
        <v>382.56418859367136</v>
      </c>
    </row>
    <row r="418" spans="1:7" ht="21.75" customHeight="1" x14ac:dyDescent="0.2">
      <c r="A418" s="137"/>
      <c r="B418" s="167" t="s">
        <v>205</v>
      </c>
      <c r="C418" s="167" t="s">
        <v>101</v>
      </c>
      <c r="D418" s="168"/>
      <c r="E418" s="139">
        <f t="shared" si="23"/>
        <v>11743.13</v>
      </c>
      <c r="F418" s="139">
        <f t="shared" si="23"/>
        <v>8181.88</v>
      </c>
      <c r="G418" s="170">
        <f t="shared" si="22"/>
        <v>69.673758188830419</v>
      </c>
    </row>
    <row r="419" spans="1:7" ht="21.75" customHeight="1" x14ac:dyDescent="0.2">
      <c r="A419" s="137"/>
      <c r="B419" s="141" t="s">
        <v>206</v>
      </c>
      <c r="C419" s="141" t="s">
        <v>112</v>
      </c>
      <c r="D419" s="142"/>
      <c r="E419" s="143">
        <f t="shared" si="23"/>
        <v>11743.13</v>
      </c>
      <c r="F419" s="143">
        <f t="shared" si="23"/>
        <v>8181.88</v>
      </c>
      <c r="G419" s="144">
        <f t="shared" si="22"/>
        <v>69.673758188830419</v>
      </c>
    </row>
    <row r="420" spans="1:7" ht="21.75" customHeight="1" x14ac:dyDescent="0.2">
      <c r="A420" s="137"/>
      <c r="B420" s="141" t="s">
        <v>220</v>
      </c>
      <c r="C420" s="141" t="s">
        <v>130</v>
      </c>
      <c r="D420" s="142"/>
      <c r="E420" s="143">
        <f>E421+E427</f>
        <v>11743.13</v>
      </c>
      <c r="F420" s="143">
        <f>F421+F422</f>
        <v>8181.88</v>
      </c>
      <c r="G420" s="144">
        <f t="shared" si="22"/>
        <v>69.673758188830419</v>
      </c>
    </row>
    <row r="421" spans="1:7" ht="21.75" customHeight="1" x14ac:dyDescent="0.2">
      <c r="A421" s="137"/>
      <c r="B421" s="156" t="s">
        <v>133</v>
      </c>
      <c r="C421" s="156" t="s">
        <v>134</v>
      </c>
      <c r="D421" s="157">
        <v>11001</v>
      </c>
      <c r="E421" s="158">
        <v>11743.13</v>
      </c>
      <c r="F421" s="158">
        <v>8181.88</v>
      </c>
      <c r="G421" s="161">
        <f t="shared" si="22"/>
        <v>69.673758188830419</v>
      </c>
    </row>
    <row r="422" spans="1:7" ht="21.75" customHeight="1" x14ac:dyDescent="0.2">
      <c r="A422" s="137"/>
      <c r="B422" s="146" t="s">
        <v>133</v>
      </c>
      <c r="C422" s="146" t="s">
        <v>134</v>
      </c>
      <c r="D422" s="147">
        <v>53061</v>
      </c>
      <c r="E422" s="150">
        <v>0</v>
      </c>
      <c r="F422" s="149">
        <v>0</v>
      </c>
      <c r="G422" s="151" t="e">
        <f t="shared" ref="G422" si="24">F422/E422*100</f>
        <v>#DIV/0!</v>
      </c>
    </row>
    <row r="423" spans="1:7" ht="21.75" customHeight="1" x14ac:dyDescent="0.2">
      <c r="A423" s="137"/>
      <c r="B423" s="137">
        <v>4</v>
      </c>
      <c r="C423" s="137" t="s">
        <v>344</v>
      </c>
      <c r="D423" s="138"/>
      <c r="E423" s="139">
        <f>E424</f>
        <v>0</v>
      </c>
      <c r="F423" s="139">
        <f>F424</f>
        <v>36743.129999999997</v>
      </c>
      <c r="G423" s="170" t="e">
        <f t="shared" si="22"/>
        <v>#DIV/0!</v>
      </c>
    </row>
    <row r="424" spans="1:7" ht="21.75" customHeight="1" x14ac:dyDescent="0.2">
      <c r="A424" s="137"/>
      <c r="B424" s="141">
        <v>45</v>
      </c>
      <c r="C424" s="141" t="s">
        <v>185</v>
      </c>
      <c r="D424" s="142"/>
      <c r="E424" s="164">
        <f>E425</f>
        <v>0</v>
      </c>
      <c r="F424" s="164">
        <f>F425</f>
        <v>36743.129999999997</v>
      </c>
      <c r="G424" s="144" t="e">
        <f t="shared" si="22"/>
        <v>#DIV/0!</v>
      </c>
    </row>
    <row r="425" spans="1:7" ht="21.75" customHeight="1" x14ac:dyDescent="0.2">
      <c r="A425" s="137"/>
      <c r="B425" s="141">
        <v>451</v>
      </c>
      <c r="C425" s="141" t="s">
        <v>345</v>
      </c>
      <c r="D425" s="142"/>
      <c r="E425" s="164">
        <f>E427</f>
        <v>0</v>
      </c>
      <c r="F425" s="164">
        <f>F427+F426</f>
        <v>36743.129999999997</v>
      </c>
      <c r="G425" s="144" t="e">
        <f t="shared" si="22"/>
        <v>#DIV/0!</v>
      </c>
    </row>
    <row r="426" spans="1:7" ht="21.75" customHeight="1" x14ac:dyDescent="0.2">
      <c r="A426" s="137"/>
      <c r="B426" s="146">
        <v>4511</v>
      </c>
      <c r="C426" s="146" t="s">
        <v>345</v>
      </c>
      <c r="D426" s="147">
        <v>11001</v>
      </c>
      <c r="E426" s="160">
        <v>0</v>
      </c>
      <c r="F426" s="159">
        <v>11743.13</v>
      </c>
      <c r="G426" s="161" t="e">
        <f t="shared" ref="G426" si="25">F426/E426*100</f>
        <v>#DIV/0!</v>
      </c>
    </row>
    <row r="427" spans="1:7" ht="21.75" customHeight="1" x14ac:dyDescent="0.2">
      <c r="A427" s="145"/>
      <c r="B427" s="146">
        <v>4511</v>
      </c>
      <c r="C427" s="146" t="s">
        <v>345</v>
      </c>
      <c r="D427" s="147">
        <v>53061</v>
      </c>
      <c r="E427" s="160">
        <v>0</v>
      </c>
      <c r="F427" s="159">
        <v>25000</v>
      </c>
      <c r="G427" s="161" t="e">
        <f t="shared" si="22"/>
        <v>#DIV/0!</v>
      </c>
    </row>
    <row r="428" spans="1:7" ht="21.75" customHeight="1" x14ac:dyDescent="0.2">
      <c r="A428" s="133" t="s">
        <v>346</v>
      </c>
      <c r="B428" s="270" t="s">
        <v>347</v>
      </c>
      <c r="C428" s="271"/>
      <c r="D428" s="134"/>
      <c r="E428" s="135">
        <f t="shared" si="23"/>
        <v>4000</v>
      </c>
      <c r="F428" s="135">
        <f t="shared" si="23"/>
        <v>4074.65</v>
      </c>
      <c r="G428" s="136">
        <f t="shared" si="22"/>
        <v>101.86625000000001</v>
      </c>
    </row>
    <row r="429" spans="1:7" ht="21.75" customHeight="1" x14ac:dyDescent="0.2">
      <c r="A429" s="137"/>
      <c r="B429" s="167" t="s">
        <v>205</v>
      </c>
      <c r="C429" s="167" t="s">
        <v>101</v>
      </c>
      <c r="D429" s="168"/>
      <c r="E429" s="139">
        <f t="shared" si="23"/>
        <v>4000</v>
      </c>
      <c r="F429" s="139">
        <f t="shared" si="23"/>
        <v>4074.65</v>
      </c>
      <c r="G429" s="170">
        <f t="shared" si="22"/>
        <v>101.86625000000001</v>
      </c>
    </row>
    <row r="430" spans="1:7" ht="21.75" customHeight="1" x14ac:dyDescent="0.2">
      <c r="A430" s="137"/>
      <c r="B430" s="141" t="s">
        <v>206</v>
      </c>
      <c r="C430" s="141" t="s">
        <v>112</v>
      </c>
      <c r="D430" s="142"/>
      <c r="E430" s="143">
        <f t="shared" si="23"/>
        <v>4000</v>
      </c>
      <c r="F430" s="143">
        <f t="shared" si="23"/>
        <v>4074.65</v>
      </c>
      <c r="G430" s="144">
        <f t="shared" si="22"/>
        <v>101.86625000000001</v>
      </c>
    </row>
    <row r="431" spans="1:7" ht="21.75" customHeight="1" x14ac:dyDescent="0.2">
      <c r="A431" s="137"/>
      <c r="B431" s="141" t="s">
        <v>220</v>
      </c>
      <c r="C431" s="141" t="s">
        <v>130</v>
      </c>
      <c r="D431" s="142"/>
      <c r="E431" s="143">
        <f t="shared" si="23"/>
        <v>4000</v>
      </c>
      <c r="F431" s="143">
        <f>F432+F433</f>
        <v>4074.65</v>
      </c>
      <c r="G431" s="144">
        <f t="shared" si="22"/>
        <v>101.86625000000001</v>
      </c>
    </row>
    <row r="432" spans="1:7" ht="21.75" customHeight="1" x14ac:dyDescent="0.2">
      <c r="A432" s="145"/>
      <c r="B432" s="156" t="s">
        <v>133</v>
      </c>
      <c r="C432" s="156" t="s">
        <v>134</v>
      </c>
      <c r="D432" s="157">
        <v>72300</v>
      </c>
      <c r="E432" s="160">
        <v>4000</v>
      </c>
      <c r="F432" s="159">
        <v>2259.9</v>
      </c>
      <c r="G432" s="161">
        <f t="shared" si="22"/>
        <v>56.497500000000002</v>
      </c>
    </row>
    <row r="433" spans="1:7" ht="21.75" customHeight="1" x14ac:dyDescent="0.2">
      <c r="A433" s="145"/>
      <c r="B433" s="156" t="s">
        <v>133</v>
      </c>
      <c r="C433" s="156" t="s">
        <v>134</v>
      </c>
      <c r="D433" s="157">
        <v>58300</v>
      </c>
      <c r="E433" s="160">
        <v>0</v>
      </c>
      <c r="F433" s="159">
        <v>1814.75</v>
      </c>
      <c r="G433" s="161" t="e">
        <f t="shared" si="22"/>
        <v>#DIV/0!</v>
      </c>
    </row>
    <row r="434" spans="1:7" ht="21.75" customHeight="1" x14ac:dyDescent="0.2">
      <c r="A434" s="123" t="s">
        <v>348</v>
      </c>
      <c r="B434" s="272" t="s">
        <v>349</v>
      </c>
      <c r="C434" s="273"/>
      <c r="D434" s="124"/>
      <c r="E434" s="125">
        <f>E436+E441</f>
        <v>55564.76</v>
      </c>
      <c r="F434" s="125">
        <f>F436+F441</f>
        <v>55335.4</v>
      </c>
      <c r="G434" s="126">
        <f t="shared" si="22"/>
        <v>99.587220389325893</v>
      </c>
    </row>
    <row r="435" spans="1:7" ht="20.25" customHeight="1" x14ac:dyDescent="0.2">
      <c r="A435" s="175"/>
      <c r="B435" s="268"/>
      <c r="C435" s="269"/>
      <c r="D435" s="176"/>
      <c r="E435" s="177"/>
      <c r="F435" s="177"/>
      <c r="G435" s="178"/>
    </row>
    <row r="436" spans="1:7" ht="21.75" customHeight="1" x14ac:dyDescent="0.2">
      <c r="A436" s="133" t="s">
        <v>350</v>
      </c>
      <c r="B436" s="270" t="s">
        <v>351</v>
      </c>
      <c r="C436" s="271"/>
      <c r="D436" s="134"/>
      <c r="E436" s="135">
        <f t="shared" ref="E436:F439" si="26">E437</f>
        <v>3657.9</v>
      </c>
      <c r="F436" s="135">
        <f t="shared" si="26"/>
        <v>3657.9</v>
      </c>
      <c r="G436" s="136">
        <f>F436/E436*100</f>
        <v>100</v>
      </c>
    </row>
    <row r="437" spans="1:7" ht="21.75" customHeight="1" x14ac:dyDescent="0.2">
      <c r="A437" s="175"/>
      <c r="B437" s="167" t="s">
        <v>205</v>
      </c>
      <c r="C437" s="167" t="s">
        <v>101</v>
      </c>
      <c r="D437" s="168"/>
      <c r="E437" s="139">
        <f t="shared" si="26"/>
        <v>3657.9</v>
      </c>
      <c r="F437" s="139">
        <f t="shared" si="26"/>
        <v>3657.9</v>
      </c>
      <c r="G437" s="170">
        <f t="shared" ref="G437:G440" si="27">F437/E437*100</f>
        <v>100</v>
      </c>
    </row>
    <row r="438" spans="1:7" ht="21.75" customHeight="1" x14ac:dyDescent="0.2">
      <c r="A438" s="175"/>
      <c r="B438" s="141" t="s">
        <v>206</v>
      </c>
      <c r="C438" s="141" t="s">
        <v>112</v>
      </c>
      <c r="D438" s="142"/>
      <c r="E438" s="143">
        <f t="shared" si="26"/>
        <v>3657.9</v>
      </c>
      <c r="F438" s="143">
        <f t="shared" si="26"/>
        <v>3657.9</v>
      </c>
      <c r="G438" s="144">
        <f t="shared" si="27"/>
        <v>100</v>
      </c>
    </row>
    <row r="439" spans="1:7" ht="21.75" customHeight="1" x14ac:dyDescent="0.2">
      <c r="A439" s="175"/>
      <c r="B439" s="141" t="s">
        <v>220</v>
      </c>
      <c r="C439" s="141" t="s">
        <v>130</v>
      </c>
      <c r="D439" s="142"/>
      <c r="E439" s="143">
        <f t="shared" si="26"/>
        <v>3657.9</v>
      </c>
      <c r="F439" s="143">
        <f t="shared" si="26"/>
        <v>3657.9</v>
      </c>
      <c r="G439" s="144">
        <f t="shared" si="27"/>
        <v>100</v>
      </c>
    </row>
    <row r="440" spans="1:7" ht="21.75" customHeight="1" x14ac:dyDescent="0.2">
      <c r="A440" s="175"/>
      <c r="B440" s="156">
        <v>3237</v>
      </c>
      <c r="C440" s="156" t="s">
        <v>140</v>
      </c>
      <c r="D440" s="157" t="s">
        <v>261</v>
      </c>
      <c r="E440" s="231">
        <v>3657.9</v>
      </c>
      <c r="F440" s="231">
        <v>3657.9</v>
      </c>
      <c r="G440" s="161">
        <f t="shared" si="27"/>
        <v>100</v>
      </c>
    </row>
    <row r="441" spans="1:7" ht="21.75" customHeight="1" x14ac:dyDescent="0.2">
      <c r="A441" s="133" t="s">
        <v>352</v>
      </c>
      <c r="B441" s="270" t="s">
        <v>353</v>
      </c>
      <c r="C441" s="271"/>
      <c r="D441" s="134"/>
      <c r="E441" s="135">
        <f t="shared" ref="E441:F443" si="28">E442</f>
        <v>51906.86</v>
      </c>
      <c r="F441" s="135">
        <f t="shared" si="28"/>
        <v>51677.5</v>
      </c>
      <c r="G441" s="136">
        <f t="shared" ref="G441:G447" si="29">F441/E441*100</f>
        <v>99.558131622679554</v>
      </c>
    </row>
    <row r="442" spans="1:7" ht="24" customHeight="1" x14ac:dyDescent="0.2">
      <c r="A442" s="137"/>
      <c r="B442" s="137">
        <v>4</v>
      </c>
      <c r="C442" s="137" t="s">
        <v>344</v>
      </c>
      <c r="D442" s="138"/>
      <c r="E442" s="139">
        <f t="shared" si="28"/>
        <v>51906.86</v>
      </c>
      <c r="F442" s="139">
        <f t="shared" si="28"/>
        <v>51677.5</v>
      </c>
      <c r="G442" s="140">
        <f t="shared" si="29"/>
        <v>99.558131622679554</v>
      </c>
    </row>
    <row r="443" spans="1:7" ht="21.75" customHeight="1" x14ac:dyDescent="0.2">
      <c r="A443" s="137"/>
      <c r="B443" s="141">
        <v>45</v>
      </c>
      <c r="C443" s="141" t="s">
        <v>185</v>
      </c>
      <c r="D443" s="142"/>
      <c r="E443" s="143">
        <f t="shared" si="28"/>
        <v>51906.86</v>
      </c>
      <c r="F443" s="143">
        <f t="shared" si="28"/>
        <v>51677.5</v>
      </c>
      <c r="G443" s="144">
        <f t="shared" si="29"/>
        <v>99.558131622679554</v>
      </c>
    </row>
    <row r="444" spans="1:7" ht="21.75" customHeight="1" x14ac:dyDescent="0.2">
      <c r="A444" s="137"/>
      <c r="B444" s="141">
        <v>451</v>
      </c>
      <c r="C444" s="141" t="s">
        <v>345</v>
      </c>
      <c r="D444" s="142"/>
      <c r="E444" s="143">
        <f>SUM(E445:E446)</f>
        <v>51906.86</v>
      </c>
      <c r="F444" s="143">
        <f>SUM(F445:F446)</f>
        <v>51677.5</v>
      </c>
      <c r="G444" s="144">
        <f t="shared" si="29"/>
        <v>99.558131622679554</v>
      </c>
    </row>
    <row r="445" spans="1:7" ht="21.75" customHeight="1" x14ac:dyDescent="0.2">
      <c r="A445" s="137"/>
      <c r="B445" s="146">
        <v>4511</v>
      </c>
      <c r="C445" s="146" t="s">
        <v>345</v>
      </c>
      <c r="D445" s="147">
        <v>11001</v>
      </c>
      <c r="E445" s="148">
        <v>31390.86</v>
      </c>
      <c r="F445" s="148">
        <v>31161.5</v>
      </c>
      <c r="G445" s="151">
        <f t="shared" si="29"/>
        <v>99.269341457991274</v>
      </c>
    </row>
    <row r="446" spans="1:7" ht="21.75" customHeight="1" x14ac:dyDescent="0.2">
      <c r="A446" s="145"/>
      <c r="B446" s="146">
        <v>4511</v>
      </c>
      <c r="C446" s="146" t="s">
        <v>345</v>
      </c>
      <c r="D446" s="147">
        <v>53076</v>
      </c>
      <c r="E446" s="150">
        <v>20516</v>
      </c>
      <c r="F446" s="149">
        <v>20516</v>
      </c>
      <c r="G446" s="151">
        <f t="shared" si="29"/>
        <v>100</v>
      </c>
    </row>
    <row r="447" spans="1:7" ht="21.75" customHeight="1" x14ac:dyDescent="0.2">
      <c r="A447" s="123" t="s">
        <v>354</v>
      </c>
      <c r="B447" s="272" t="s">
        <v>355</v>
      </c>
      <c r="C447" s="273"/>
      <c r="D447" s="124"/>
      <c r="E447" s="125">
        <f>SUM(E449,E468,E474)</f>
        <v>26082.65</v>
      </c>
      <c r="F447" s="125">
        <f>SUM(F449,F468,F474)</f>
        <v>32533.85</v>
      </c>
      <c r="G447" s="126">
        <f t="shared" si="29"/>
        <v>124.73368311885487</v>
      </c>
    </row>
    <row r="448" spans="1:7" ht="21.75" customHeight="1" x14ac:dyDescent="0.2">
      <c r="A448" s="175"/>
      <c r="B448" s="268"/>
      <c r="C448" s="269"/>
      <c r="D448" s="176"/>
      <c r="E448" s="179"/>
      <c r="F448" s="176"/>
      <c r="G448" s="178"/>
    </row>
    <row r="449" spans="1:7" ht="21.75" customHeight="1" x14ac:dyDescent="0.2">
      <c r="A449" s="133" t="s">
        <v>356</v>
      </c>
      <c r="B449" s="270" t="s">
        <v>357</v>
      </c>
      <c r="C449" s="271"/>
      <c r="D449" s="134"/>
      <c r="E449" s="135">
        <f>E450</f>
        <v>15132.51</v>
      </c>
      <c r="F449" s="135">
        <f>F450</f>
        <v>21583.71</v>
      </c>
      <c r="G449" s="136">
        <f t="shared" ref="G449:G483" si="30">F449/E449*100</f>
        <v>142.63139426307993</v>
      </c>
    </row>
    <row r="450" spans="1:7" ht="21.75" customHeight="1" x14ac:dyDescent="0.2">
      <c r="A450" s="137"/>
      <c r="B450" s="137" t="s">
        <v>282</v>
      </c>
      <c r="C450" s="137" t="s">
        <v>168</v>
      </c>
      <c r="D450" s="138"/>
      <c r="E450" s="139">
        <f>E451</f>
        <v>15132.51</v>
      </c>
      <c r="F450" s="139">
        <f>F451</f>
        <v>21583.71</v>
      </c>
      <c r="G450" s="140">
        <f t="shared" si="30"/>
        <v>142.63139426307993</v>
      </c>
    </row>
    <row r="451" spans="1:7" ht="21.75" customHeight="1" x14ac:dyDescent="0.2">
      <c r="A451" s="137"/>
      <c r="B451" s="141" t="s">
        <v>283</v>
      </c>
      <c r="C451" s="141" t="s">
        <v>284</v>
      </c>
      <c r="D451" s="142"/>
      <c r="E451" s="143">
        <f>SUM(E452,E465)</f>
        <v>15132.51</v>
      </c>
      <c r="F451" s="143">
        <f>SUM(F452,F465)</f>
        <v>21583.71</v>
      </c>
      <c r="G451" s="144">
        <f t="shared" si="30"/>
        <v>142.63139426307993</v>
      </c>
    </row>
    <row r="452" spans="1:7" ht="21.75" customHeight="1" x14ac:dyDescent="0.2">
      <c r="A452" s="137"/>
      <c r="B452" s="141" t="s">
        <v>285</v>
      </c>
      <c r="C452" s="141" t="s">
        <v>172</v>
      </c>
      <c r="D452" s="142"/>
      <c r="E452" s="143">
        <f>SUM(E453:E464)</f>
        <v>14872.51</v>
      </c>
      <c r="F452" s="143">
        <f>SUM(F453:F464)</f>
        <v>21429.09</v>
      </c>
      <c r="G452" s="144">
        <f t="shared" si="30"/>
        <v>144.0852283844489</v>
      </c>
    </row>
    <row r="453" spans="1:7" ht="21.75" customHeight="1" x14ac:dyDescent="0.2">
      <c r="A453" s="145"/>
      <c r="B453" s="146" t="s">
        <v>173</v>
      </c>
      <c r="C453" s="146" t="s">
        <v>174</v>
      </c>
      <c r="D453" s="147" t="s">
        <v>242</v>
      </c>
      <c r="E453" s="150">
        <v>530</v>
      </c>
      <c r="F453" s="149">
        <v>0</v>
      </c>
      <c r="G453" s="151">
        <f t="shared" si="30"/>
        <v>0</v>
      </c>
    </row>
    <row r="454" spans="1:7" ht="21.75" customHeight="1" x14ac:dyDescent="0.2">
      <c r="A454" s="145"/>
      <c r="B454" s="146" t="s">
        <v>173</v>
      </c>
      <c r="C454" s="146" t="s">
        <v>174</v>
      </c>
      <c r="D454" s="147">
        <v>62300</v>
      </c>
      <c r="E454" s="150">
        <v>0</v>
      </c>
      <c r="F454" s="149">
        <v>12157.41</v>
      </c>
      <c r="G454" s="151" t="e">
        <f t="shared" si="30"/>
        <v>#DIV/0!</v>
      </c>
    </row>
    <row r="455" spans="1:7" ht="21.75" customHeight="1" x14ac:dyDescent="0.2">
      <c r="A455" s="145"/>
      <c r="B455" s="146" t="s">
        <v>173</v>
      </c>
      <c r="C455" s="146" t="s">
        <v>174</v>
      </c>
      <c r="D455" s="147" t="s">
        <v>358</v>
      </c>
      <c r="E455" s="150">
        <v>4132.5</v>
      </c>
      <c r="F455" s="149">
        <v>518.34</v>
      </c>
      <c r="G455" s="151">
        <f t="shared" si="30"/>
        <v>12.543012704174231</v>
      </c>
    </row>
    <row r="456" spans="1:7" ht="21.75" customHeight="1" x14ac:dyDescent="0.2">
      <c r="A456" s="145"/>
      <c r="B456" s="146" t="s">
        <v>173</v>
      </c>
      <c r="C456" s="146" t="s">
        <v>174</v>
      </c>
      <c r="D456" s="147">
        <v>48006</v>
      </c>
      <c r="E456" s="150">
        <v>3312.5</v>
      </c>
      <c r="F456" s="149">
        <v>3312.5</v>
      </c>
      <c r="G456" s="151">
        <f t="shared" si="30"/>
        <v>100</v>
      </c>
    </row>
    <row r="457" spans="1:7" ht="21.75" customHeight="1" x14ac:dyDescent="0.2">
      <c r="A457" s="145"/>
      <c r="B457" s="146" t="s">
        <v>359</v>
      </c>
      <c r="C457" s="146" t="s">
        <v>176</v>
      </c>
      <c r="D457" s="147" t="s">
        <v>242</v>
      </c>
      <c r="E457" s="150">
        <v>0</v>
      </c>
      <c r="F457" s="149">
        <v>0</v>
      </c>
      <c r="G457" s="151" t="e">
        <f t="shared" si="30"/>
        <v>#DIV/0!</v>
      </c>
    </row>
    <row r="458" spans="1:7" ht="21.75" customHeight="1" x14ac:dyDescent="0.2">
      <c r="A458" s="145"/>
      <c r="B458" s="146" t="s">
        <v>359</v>
      </c>
      <c r="C458" s="146" t="s">
        <v>176</v>
      </c>
      <c r="D458" s="147">
        <v>47300</v>
      </c>
      <c r="E458" s="150">
        <v>478.85</v>
      </c>
      <c r="F458" s="149">
        <v>478.85</v>
      </c>
      <c r="G458" s="151">
        <f t="shared" si="30"/>
        <v>100</v>
      </c>
    </row>
    <row r="459" spans="1:7" ht="21.75" customHeight="1" x14ac:dyDescent="0.2">
      <c r="A459" s="145"/>
      <c r="B459" s="146" t="s">
        <v>359</v>
      </c>
      <c r="C459" s="146" t="s">
        <v>176</v>
      </c>
      <c r="D459" s="147">
        <v>72300</v>
      </c>
      <c r="E459" s="150">
        <v>1000</v>
      </c>
      <c r="F459" s="149">
        <v>0</v>
      </c>
      <c r="G459" s="151">
        <f t="shared" si="30"/>
        <v>0</v>
      </c>
    </row>
    <row r="460" spans="1:7" ht="21.75" customHeight="1" x14ac:dyDescent="0.2">
      <c r="A460" s="145"/>
      <c r="B460" s="146" t="s">
        <v>360</v>
      </c>
      <c r="C460" s="146" t="s">
        <v>313</v>
      </c>
      <c r="D460" s="147">
        <v>32300</v>
      </c>
      <c r="E460" s="150">
        <v>111.26</v>
      </c>
      <c r="F460" s="149">
        <v>0</v>
      </c>
      <c r="G460" s="151">
        <f t="shared" si="30"/>
        <v>0</v>
      </c>
    </row>
    <row r="461" spans="1:7" ht="21.75" customHeight="1" x14ac:dyDescent="0.2">
      <c r="A461" s="145"/>
      <c r="B461" s="146" t="s">
        <v>360</v>
      </c>
      <c r="C461" s="146" t="s">
        <v>313</v>
      </c>
      <c r="D461" s="147">
        <v>47300</v>
      </c>
      <c r="E461" s="150">
        <v>1426.33</v>
      </c>
      <c r="F461" s="149">
        <v>1426.33</v>
      </c>
      <c r="G461" s="151">
        <f t="shared" si="30"/>
        <v>100</v>
      </c>
    </row>
    <row r="462" spans="1:7" ht="21.75" customHeight="1" x14ac:dyDescent="0.2">
      <c r="A462" s="145"/>
      <c r="B462" s="146" t="s">
        <v>360</v>
      </c>
      <c r="C462" s="146" t="s">
        <v>313</v>
      </c>
      <c r="D462" s="147">
        <v>72300</v>
      </c>
      <c r="E462" s="150">
        <v>3581.07</v>
      </c>
      <c r="F462" s="149">
        <v>3137.5</v>
      </c>
      <c r="G462" s="151">
        <f t="shared" si="30"/>
        <v>87.613478653028281</v>
      </c>
    </row>
    <row r="463" spans="1:7" ht="21.75" customHeight="1" x14ac:dyDescent="0.2">
      <c r="A463" s="145"/>
      <c r="B463" s="146" t="s">
        <v>360</v>
      </c>
      <c r="C463" s="146" t="s">
        <v>313</v>
      </c>
      <c r="D463" s="147">
        <v>62300</v>
      </c>
      <c r="E463" s="150">
        <v>0</v>
      </c>
      <c r="F463" s="149">
        <v>398.16</v>
      </c>
      <c r="G463" s="151" t="e">
        <f t="shared" si="30"/>
        <v>#DIV/0!</v>
      </c>
    </row>
    <row r="464" spans="1:7" ht="21.75" customHeight="1" x14ac:dyDescent="0.2">
      <c r="A464" s="145"/>
      <c r="B464" s="146" t="s">
        <v>297</v>
      </c>
      <c r="C464" s="146" t="s">
        <v>180</v>
      </c>
      <c r="D464" s="147" t="s">
        <v>242</v>
      </c>
      <c r="E464" s="150">
        <v>300</v>
      </c>
      <c r="F464" s="149">
        <v>0</v>
      </c>
      <c r="G464" s="151">
        <f t="shared" si="30"/>
        <v>0</v>
      </c>
    </row>
    <row r="465" spans="1:7" ht="25.5" customHeight="1" x14ac:dyDescent="0.2">
      <c r="A465" s="137"/>
      <c r="B465" s="141" t="s">
        <v>303</v>
      </c>
      <c r="C465" s="141" t="s">
        <v>304</v>
      </c>
      <c r="D465" s="142"/>
      <c r="E465" s="143">
        <f>SUM(E466:E467)</f>
        <v>260</v>
      </c>
      <c r="F465" s="143">
        <f>SUM(F466:F467)</f>
        <v>154.62</v>
      </c>
      <c r="G465" s="144">
        <f t="shared" si="30"/>
        <v>59.469230769230776</v>
      </c>
    </row>
    <row r="466" spans="1:7" ht="21.75" customHeight="1" x14ac:dyDescent="0.2">
      <c r="A466" s="145"/>
      <c r="B466" s="146" t="s">
        <v>305</v>
      </c>
      <c r="C466" s="146" t="s">
        <v>184</v>
      </c>
      <c r="D466" s="147">
        <v>32300</v>
      </c>
      <c r="E466" s="150">
        <v>130</v>
      </c>
      <c r="F466" s="149">
        <v>95.96</v>
      </c>
      <c r="G466" s="151">
        <f t="shared" si="30"/>
        <v>73.815384615384616</v>
      </c>
    </row>
    <row r="467" spans="1:7" ht="21.75" customHeight="1" x14ac:dyDescent="0.2">
      <c r="A467" s="145"/>
      <c r="B467" s="145" t="s">
        <v>305</v>
      </c>
      <c r="C467" s="145" t="s">
        <v>184</v>
      </c>
      <c r="D467" s="152">
        <v>47300</v>
      </c>
      <c r="E467" s="154">
        <v>130</v>
      </c>
      <c r="F467" s="153">
        <v>58.66</v>
      </c>
      <c r="G467" s="155">
        <f t="shared" si="30"/>
        <v>45.123076923076923</v>
      </c>
    </row>
    <row r="468" spans="1:7" ht="21.75" customHeight="1" x14ac:dyDescent="0.2">
      <c r="A468" s="133" t="s">
        <v>361</v>
      </c>
      <c r="B468" s="270" t="s">
        <v>362</v>
      </c>
      <c r="C468" s="271"/>
      <c r="D468" s="134"/>
      <c r="E468" s="135">
        <f t="shared" ref="E468:F470" si="31">E469</f>
        <v>1331</v>
      </c>
      <c r="F468" s="135">
        <f t="shared" si="31"/>
        <v>1331</v>
      </c>
      <c r="G468" s="136">
        <f t="shared" si="30"/>
        <v>100</v>
      </c>
    </row>
    <row r="469" spans="1:7" ht="26.25" customHeight="1" x14ac:dyDescent="0.2">
      <c r="A469" s="137"/>
      <c r="B469" s="141" t="s">
        <v>282</v>
      </c>
      <c r="C469" s="141" t="s">
        <v>168</v>
      </c>
      <c r="D469" s="142"/>
      <c r="E469" s="143">
        <f t="shared" si="31"/>
        <v>1331</v>
      </c>
      <c r="F469" s="143">
        <f t="shared" si="31"/>
        <v>1331</v>
      </c>
      <c r="G469" s="144">
        <f t="shared" si="30"/>
        <v>100</v>
      </c>
    </row>
    <row r="470" spans="1:7" ht="21.75" customHeight="1" x14ac:dyDescent="0.2">
      <c r="A470" s="137"/>
      <c r="B470" s="141" t="s">
        <v>283</v>
      </c>
      <c r="C470" s="141" t="s">
        <v>284</v>
      </c>
      <c r="D470" s="142"/>
      <c r="E470" s="143">
        <f t="shared" si="31"/>
        <v>1331</v>
      </c>
      <c r="F470" s="143">
        <f t="shared" si="31"/>
        <v>1331</v>
      </c>
      <c r="G470" s="144">
        <f t="shared" si="30"/>
        <v>100</v>
      </c>
    </row>
    <row r="471" spans="1:7" ht="21.75" customHeight="1" x14ac:dyDescent="0.2">
      <c r="A471" s="137"/>
      <c r="B471" s="141" t="s">
        <v>303</v>
      </c>
      <c r="C471" s="141" t="s">
        <v>304</v>
      </c>
      <c r="D471" s="142"/>
      <c r="E471" s="143">
        <f>SUM(E472:E473)</f>
        <v>1331</v>
      </c>
      <c r="F471" s="143">
        <f>SUM(F472:F473)</f>
        <v>1331</v>
      </c>
      <c r="G471" s="144">
        <f t="shared" si="30"/>
        <v>100</v>
      </c>
    </row>
    <row r="472" spans="1:7" ht="21.75" customHeight="1" x14ac:dyDescent="0.2">
      <c r="A472" s="145"/>
      <c r="B472" s="146" t="s">
        <v>305</v>
      </c>
      <c r="C472" s="146" t="s">
        <v>184</v>
      </c>
      <c r="D472" s="147" t="s">
        <v>250</v>
      </c>
      <c r="E472" s="150">
        <v>701</v>
      </c>
      <c r="F472" s="149">
        <v>701</v>
      </c>
      <c r="G472" s="151">
        <f t="shared" si="30"/>
        <v>100</v>
      </c>
    </row>
    <row r="473" spans="1:7" ht="21.75" customHeight="1" x14ac:dyDescent="0.2">
      <c r="A473" s="145"/>
      <c r="B473" s="146" t="s">
        <v>305</v>
      </c>
      <c r="C473" s="146" t="s">
        <v>184</v>
      </c>
      <c r="D473" s="147" t="s">
        <v>261</v>
      </c>
      <c r="E473" s="150">
        <v>630</v>
      </c>
      <c r="F473" s="149">
        <v>630</v>
      </c>
      <c r="G473" s="151">
        <f t="shared" si="30"/>
        <v>100</v>
      </c>
    </row>
    <row r="474" spans="1:7" ht="21.75" customHeight="1" x14ac:dyDescent="0.2">
      <c r="A474" s="133" t="s">
        <v>363</v>
      </c>
      <c r="B474" s="270" t="s">
        <v>364</v>
      </c>
      <c r="C474" s="271"/>
      <c r="D474" s="134"/>
      <c r="E474" s="135">
        <f>E475+E479</f>
        <v>9619.14</v>
      </c>
      <c r="F474" s="135">
        <f>F475+F479</f>
        <v>9619.14</v>
      </c>
      <c r="G474" s="136">
        <f t="shared" si="30"/>
        <v>100</v>
      </c>
    </row>
    <row r="475" spans="1:7" ht="21.75" customHeight="1" x14ac:dyDescent="0.2">
      <c r="A475" s="145"/>
      <c r="B475" s="137" t="s">
        <v>205</v>
      </c>
      <c r="C475" s="137" t="s">
        <v>101</v>
      </c>
      <c r="D475" s="147"/>
      <c r="E475" s="204">
        <f t="shared" ref="E475:F477" si="32">E476</f>
        <v>4409.97</v>
      </c>
      <c r="F475" s="204">
        <f t="shared" si="32"/>
        <v>4409.97</v>
      </c>
      <c r="G475" s="144">
        <f t="shared" si="30"/>
        <v>100</v>
      </c>
    </row>
    <row r="476" spans="1:7" ht="21.75" customHeight="1" x14ac:dyDescent="0.2">
      <c r="A476" s="145"/>
      <c r="B476" s="141" t="s">
        <v>206</v>
      </c>
      <c r="C476" s="141" t="s">
        <v>112</v>
      </c>
      <c r="D476" s="147"/>
      <c r="E476" s="204">
        <f t="shared" si="32"/>
        <v>4409.97</v>
      </c>
      <c r="F476" s="204">
        <f t="shared" si="32"/>
        <v>4409.97</v>
      </c>
      <c r="G476" s="144">
        <f t="shared" si="30"/>
        <v>100</v>
      </c>
    </row>
    <row r="477" spans="1:7" ht="21.75" customHeight="1" x14ac:dyDescent="0.2">
      <c r="A477" s="145"/>
      <c r="B477" s="141" t="s">
        <v>213</v>
      </c>
      <c r="C477" s="141" t="s">
        <v>214</v>
      </c>
      <c r="D477" s="147"/>
      <c r="E477" s="204">
        <f t="shared" si="32"/>
        <v>4409.97</v>
      </c>
      <c r="F477" s="204">
        <f t="shared" si="32"/>
        <v>4409.97</v>
      </c>
      <c r="G477" s="144">
        <f t="shared" si="30"/>
        <v>100</v>
      </c>
    </row>
    <row r="478" spans="1:7" ht="21.75" customHeight="1" x14ac:dyDescent="0.2">
      <c r="A478" s="145"/>
      <c r="B478" s="146">
        <v>3225</v>
      </c>
      <c r="C478" s="146" t="s">
        <v>128</v>
      </c>
      <c r="D478" s="147">
        <v>52082</v>
      </c>
      <c r="E478" s="150">
        <v>4409.97</v>
      </c>
      <c r="F478" s="149">
        <v>4409.97</v>
      </c>
      <c r="G478" s="144">
        <f t="shared" si="30"/>
        <v>100</v>
      </c>
    </row>
    <row r="479" spans="1:7" ht="21.75" customHeight="1" x14ac:dyDescent="0.2">
      <c r="A479" s="145"/>
      <c r="B479" s="137" t="s">
        <v>282</v>
      </c>
      <c r="C479" s="137" t="s">
        <v>168</v>
      </c>
      <c r="D479" s="147"/>
      <c r="E479" s="204">
        <f t="shared" ref="E479:F481" si="33">E480</f>
        <v>5209.17</v>
      </c>
      <c r="F479" s="204">
        <f t="shared" si="33"/>
        <v>5209.17</v>
      </c>
      <c r="G479" s="144">
        <f t="shared" si="30"/>
        <v>100</v>
      </c>
    </row>
    <row r="480" spans="1:7" ht="21.75" customHeight="1" x14ac:dyDescent="0.2">
      <c r="A480" s="145"/>
      <c r="B480" s="141" t="s">
        <v>283</v>
      </c>
      <c r="C480" s="141" t="s">
        <v>284</v>
      </c>
      <c r="D480" s="147"/>
      <c r="E480" s="204">
        <f t="shared" si="33"/>
        <v>5209.17</v>
      </c>
      <c r="F480" s="204">
        <f t="shared" si="33"/>
        <v>5209.17</v>
      </c>
      <c r="G480" s="144">
        <f t="shared" si="30"/>
        <v>100</v>
      </c>
    </row>
    <row r="481" spans="1:7" ht="21.75" customHeight="1" x14ac:dyDescent="0.2">
      <c r="A481" s="145"/>
      <c r="B481" s="141" t="s">
        <v>285</v>
      </c>
      <c r="C481" s="141" t="s">
        <v>172</v>
      </c>
      <c r="D481" s="147"/>
      <c r="E481" s="204">
        <f t="shared" si="33"/>
        <v>5209.17</v>
      </c>
      <c r="F481" s="204">
        <f t="shared" si="33"/>
        <v>5209.17</v>
      </c>
      <c r="G481" s="144">
        <f t="shared" si="30"/>
        <v>100</v>
      </c>
    </row>
    <row r="482" spans="1:7" ht="21.75" customHeight="1" x14ac:dyDescent="0.2">
      <c r="A482" s="145"/>
      <c r="B482" s="146">
        <v>4223</v>
      </c>
      <c r="C482" s="146" t="s">
        <v>176</v>
      </c>
      <c r="D482" s="147">
        <v>52082</v>
      </c>
      <c r="E482" s="150">
        <v>5209.17</v>
      </c>
      <c r="F482" s="149">
        <v>5209.17</v>
      </c>
      <c r="G482" s="144">
        <f t="shared" si="30"/>
        <v>100</v>
      </c>
    </row>
    <row r="483" spans="1:7" ht="21.75" customHeight="1" x14ac:dyDescent="0.2">
      <c r="A483" s="123">
        <v>9211</v>
      </c>
      <c r="B483" s="272" t="s">
        <v>365</v>
      </c>
      <c r="C483" s="273"/>
      <c r="D483" s="124"/>
      <c r="E483" s="125">
        <f>E485</f>
        <v>22755.64</v>
      </c>
      <c r="F483" s="125">
        <f>F485</f>
        <v>22755.64</v>
      </c>
      <c r="G483" s="126">
        <f t="shared" si="30"/>
        <v>100</v>
      </c>
    </row>
    <row r="484" spans="1:7" ht="21.75" customHeight="1" x14ac:dyDescent="0.2">
      <c r="A484" s="175"/>
      <c r="B484" s="268"/>
      <c r="C484" s="269"/>
      <c r="D484" s="176"/>
      <c r="E484" s="177"/>
      <c r="F484" s="177"/>
      <c r="G484" s="178"/>
    </row>
    <row r="485" spans="1:7" ht="21.75" customHeight="1" x14ac:dyDescent="0.2">
      <c r="A485" s="133" t="s">
        <v>366</v>
      </c>
      <c r="B485" s="270" t="s">
        <v>367</v>
      </c>
      <c r="C485" s="271"/>
      <c r="D485" s="134"/>
      <c r="E485" s="135">
        <f>E486</f>
        <v>22755.64</v>
      </c>
      <c r="F485" s="135">
        <f>F486</f>
        <v>22755.64</v>
      </c>
      <c r="G485" s="136">
        <f t="shared" ref="G485:G526" si="34">F485/E485*100</f>
        <v>100</v>
      </c>
    </row>
    <row r="486" spans="1:7" ht="21.75" customHeight="1" x14ac:dyDescent="0.2">
      <c r="A486" s="137"/>
      <c r="B486" s="137" t="s">
        <v>205</v>
      </c>
      <c r="C486" s="137" t="s">
        <v>101</v>
      </c>
      <c r="D486" s="138"/>
      <c r="E486" s="139">
        <f>E487+E497</f>
        <v>22755.64</v>
      </c>
      <c r="F486" s="139">
        <f>SUM(F487,F497)</f>
        <v>22755.64</v>
      </c>
      <c r="G486" s="140">
        <f t="shared" si="34"/>
        <v>100</v>
      </c>
    </row>
    <row r="487" spans="1:7" ht="21.75" customHeight="1" x14ac:dyDescent="0.2">
      <c r="A487" s="137"/>
      <c r="B487" s="141" t="s">
        <v>246</v>
      </c>
      <c r="C487" s="141" t="s">
        <v>102</v>
      </c>
      <c r="D487" s="142"/>
      <c r="E487" s="143">
        <f>SUM(E488,E491,E494)</f>
        <v>20492.599999999999</v>
      </c>
      <c r="F487" s="143">
        <f>SUM(F488,F491,F494)</f>
        <v>20492.599999999999</v>
      </c>
      <c r="G487" s="144">
        <f t="shared" si="34"/>
        <v>100</v>
      </c>
    </row>
    <row r="488" spans="1:7" ht="21.75" customHeight="1" x14ac:dyDescent="0.2">
      <c r="A488" s="137"/>
      <c r="B488" s="141" t="s">
        <v>247</v>
      </c>
      <c r="C488" s="141" t="s">
        <v>248</v>
      </c>
      <c r="D488" s="142"/>
      <c r="E488" s="143">
        <f>SUM(E489:E490)</f>
        <v>16302.63</v>
      </c>
      <c r="F488" s="143">
        <f>SUM(F489:F490)</f>
        <v>16302.63</v>
      </c>
      <c r="G488" s="144">
        <f t="shared" si="34"/>
        <v>100</v>
      </c>
    </row>
    <row r="489" spans="1:7" ht="21.75" customHeight="1" x14ac:dyDescent="0.2">
      <c r="A489" s="145"/>
      <c r="B489" s="146" t="s">
        <v>249</v>
      </c>
      <c r="C489" s="146" t="s">
        <v>104</v>
      </c>
      <c r="D489" s="147" t="s">
        <v>261</v>
      </c>
      <c r="E489" s="150">
        <v>4221.42</v>
      </c>
      <c r="F489" s="149">
        <v>4221.42</v>
      </c>
      <c r="G489" s="151">
        <f t="shared" si="34"/>
        <v>100</v>
      </c>
    </row>
    <row r="490" spans="1:7" ht="21.75" customHeight="1" x14ac:dyDescent="0.2">
      <c r="A490" s="145"/>
      <c r="B490" s="146" t="s">
        <v>249</v>
      </c>
      <c r="C490" s="146" t="s">
        <v>104</v>
      </c>
      <c r="D490" s="147" t="s">
        <v>368</v>
      </c>
      <c r="E490" s="150">
        <v>12081.21</v>
      </c>
      <c r="F490" s="149">
        <v>12081.21</v>
      </c>
      <c r="G490" s="151">
        <f t="shared" si="34"/>
        <v>100</v>
      </c>
    </row>
    <row r="491" spans="1:7" ht="21.75" customHeight="1" x14ac:dyDescent="0.2">
      <c r="A491" s="137"/>
      <c r="B491" s="141" t="s">
        <v>251</v>
      </c>
      <c r="C491" s="141" t="s">
        <v>107</v>
      </c>
      <c r="D491" s="142"/>
      <c r="E491" s="143">
        <f>SUM(E492:E493)</f>
        <v>1500</v>
      </c>
      <c r="F491" s="143">
        <f>SUM(F492:F493)</f>
        <v>1500</v>
      </c>
      <c r="G491" s="144">
        <f t="shared" si="34"/>
        <v>100</v>
      </c>
    </row>
    <row r="492" spans="1:7" ht="21.75" customHeight="1" x14ac:dyDescent="0.2">
      <c r="A492" s="145"/>
      <c r="B492" s="146" t="s">
        <v>108</v>
      </c>
      <c r="C492" s="146" t="s">
        <v>107</v>
      </c>
      <c r="D492" s="147" t="s">
        <v>261</v>
      </c>
      <c r="E492" s="150">
        <v>750</v>
      </c>
      <c r="F492" s="149">
        <v>750</v>
      </c>
      <c r="G492" s="151">
        <f t="shared" si="34"/>
        <v>100</v>
      </c>
    </row>
    <row r="493" spans="1:7" ht="21.75" customHeight="1" x14ac:dyDescent="0.2">
      <c r="A493" s="145"/>
      <c r="B493" s="146" t="s">
        <v>108</v>
      </c>
      <c r="C493" s="146" t="s">
        <v>107</v>
      </c>
      <c r="D493" s="147" t="s">
        <v>368</v>
      </c>
      <c r="E493" s="150">
        <v>750</v>
      </c>
      <c r="F493" s="149">
        <v>750</v>
      </c>
      <c r="G493" s="151">
        <f t="shared" si="34"/>
        <v>100</v>
      </c>
    </row>
    <row r="494" spans="1:7" ht="21.75" customHeight="1" x14ac:dyDescent="0.2">
      <c r="A494" s="137"/>
      <c r="B494" s="141" t="s">
        <v>252</v>
      </c>
      <c r="C494" s="141" t="s">
        <v>109</v>
      </c>
      <c r="D494" s="142"/>
      <c r="E494" s="143">
        <f>SUM(E495:E496)</f>
        <v>2689.9700000000003</v>
      </c>
      <c r="F494" s="143">
        <f>SUM(F495:F496)</f>
        <v>2689.9700000000003</v>
      </c>
      <c r="G494" s="144">
        <f t="shared" si="34"/>
        <v>100</v>
      </c>
    </row>
    <row r="495" spans="1:7" ht="21.75" customHeight="1" x14ac:dyDescent="0.2">
      <c r="A495" s="145"/>
      <c r="B495" s="146" t="s">
        <v>253</v>
      </c>
      <c r="C495" s="146" t="s">
        <v>110</v>
      </c>
      <c r="D495" s="147" t="s">
        <v>261</v>
      </c>
      <c r="E495" s="150">
        <v>832.22</v>
      </c>
      <c r="F495" s="149">
        <v>832.22</v>
      </c>
      <c r="G495" s="151">
        <f t="shared" si="34"/>
        <v>100</v>
      </c>
    </row>
    <row r="496" spans="1:7" ht="21.75" customHeight="1" x14ac:dyDescent="0.2">
      <c r="A496" s="145"/>
      <c r="B496" s="146" t="s">
        <v>253</v>
      </c>
      <c r="C496" s="146" t="s">
        <v>110</v>
      </c>
      <c r="D496" s="147" t="s">
        <v>368</v>
      </c>
      <c r="E496" s="150">
        <v>1857.75</v>
      </c>
      <c r="F496" s="149">
        <v>1857.75</v>
      </c>
      <c r="G496" s="151">
        <f t="shared" si="34"/>
        <v>100</v>
      </c>
    </row>
    <row r="497" spans="1:7" ht="21.75" customHeight="1" x14ac:dyDescent="0.2">
      <c r="A497" s="137"/>
      <c r="B497" s="141" t="s">
        <v>206</v>
      </c>
      <c r="C497" s="141" t="s">
        <v>112</v>
      </c>
      <c r="D497" s="142"/>
      <c r="E497" s="143">
        <f>E498</f>
        <v>2263.04</v>
      </c>
      <c r="F497" s="143">
        <f>F498</f>
        <v>2263.04</v>
      </c>
      <c r="G497" s="144">
        <f t="shared" si="34"/>
        <v>100</v>
      </c>
    </row>
    <row r="498" spans="1:7" ht="21.75" customHeight="1" x14ac:dyDescent="0.2">
      <c r="A498" s="137"/>
      <c r="B498" s="141" t="s">
        <v>207</v>
      </c>
      <c r="C498" s="141" t="s">
        <v>113</v>
      </c>
      <c r="D498" s="142"/>
      <c r="E498" s="143">
        <f>SUM(E499:E501)</f>
        <v>2263.04</v>
      </c>
      <c r="F498" s="143">
        <f>SUM(F499:F501)</f>
        <v>2263.04</v>
      </c>
      <c r="G498" s="144">
        <f t="shared" si="34"/>
        <v>100</v>
      </c>
    </row>
    <row r="499" spans="1:7" ht="21.75" customHeight="1" x14ac:dyDescent="0.2">
      <c r="A499" s="137"/>
      <c r="B499" s="146">
        <v>3211</v>
      </c>
      <c r="C499" s="146" t="s">
        <v>115</v>
      </c>
      <c r="D499" s="147">
        <v>51100</v>
      </c>
      <c r="E499" s="148">
        <v>183.53</v>
      </c>
      <c r="F499" s="148">
        <v>183.53</v>
      </c>
      <c r="G499" s="151">
        <f t="shared" si="34"/>
        <v>100</v>
      </c>
    </row>
    <row r="500" spans="1:7" ht="21.75" customHeight="1" x14ac:dyDescent="0.2">
      <c r="A500" s="145"/>
      <c r="B500" s="146" t="s">
        <v>116</v>
      </c>
      <c r="C500" s="146" t="s">
        <v>117</v>
      </c>
      <c r="D500" s="147" t="s">
        <v>261</v>
      </c>
      <c r="E500" s="150">
        <v>718</v>
      </c>
      <c r="F500" s="149">
        <v>718</v>
      </c>
      <c r="G500" s="151">
        <f t="shared" si="34"/>
        <v>100</v>
      </c>
    </row>
    <row r="501" spans="1:7" ht="21.75" customHeight="1" x14ac:dyDescent="0.2">
      <c r="A501" s="145"/>
      <c r="B501" s="146" t="s">
        <v>116</v>
      </c>
      <c r="C501" s="146" t="s">
        <v>117</v>
      </c>
      <c r="D501" s="147" t="s">
        <v>368</v>
      </c>
      <c r="E501" s="150">
        <v>1361.51</v>
      </c>
      <c r="F501" s="149">
        <v>1361.51</v>
      </c>
      <c r="G501" s="151">
        <f t="shared" ref="G501:G502" si="35">F501/E501*100</f>
        <v>100</v>
      </c>
    </row>
    <row r="502" spans="1:7" ht="21.75" customHeight="1" x14ac:dyDescent="0.2">
      <c r="A502" s="123">
        <v>9212</v>
      </c>
      <c r="B502" s="272" t="s">
        <v>369</v>
      </c>
      <c r="C502" s="273"/>
      <c r="D502" s="124"/>
      <c r="E502" s="125">
        <f>E504</f>
        <v>12455</v>
      </c>
      <c r="F502" s="125">
        <f>F504</f>
        <v>12042.91</v>
      </c>
      <c r="G502" s="126">
        <f t="shared" si="35"/>
        <v>96.691368928141301</v>
      </c>
    </row>
    <row r="503" spans="1:7" ht="21.75" customHeight="1" x14ac:dyDescent="0.2">
      <c r="A503" s="175"/>
      <c r="B503" s="268"/>
      <c r="C503" s="269"/>
      <c r="D503" s="176"/>
      <c r="E503" s="177"/>
      <c r="F503" s="177"/>
      <c r="G503" s="178"/>
    </row>
    <row r="504" spans="1:7" ht="21.75" customHeight="1" x14ac:dyDescent="0.2">
      <c r="A504" s="133" t="s">
        <v>370</v>
      </c>
      <c r="B504" s="270" t="s">
        <v>371</v>
      </c>
      <c r="C504" s="271"/>
      <c r="D504" s="134"/>
      <c r="E504" s="135">
        <f>E505</f>
        <v>12455</v>
      </c>
      <c r="F504" s="135">
        <f>F505</f>
        <v>12042.91</v>
      </c>
      <c r="G504" s="136">
        <f t="shared" si="34"/>
        <v>96.691368928141301</v>
      </c>
    </row>
    <row r="505" spans="1:7" ht="21.75" customHeight="1" x14ac:dyDescent="0.2">
      <c r="A505" s="145"/>
      <c r="B505" s="137" t="s">
        <v>205</v>
      </c>
      <c r="C505" s="137" t="s">
        <v>101</v>
      </c>
      <c r="D505" s="138"/>
      <c r="E505" s="139">
        <f>E506+E516</f>
        <v>12455</v>
      </c>
      <c r="F505" s="139">
        <f>F506+F516</f>
        <v>12042.91</v>
      </c>
      <c r="G505" s="140">
        <f t="shared" si="34"/>
        <v>96.691368928141301</v>
      </c>
    </row>
    <row r="506" spans="1:7" ht="21.75" customHeight="1" x14ac:dyDescent="0.2">
      <c r="A506" s="145"/>
      <c r="B506" s="141" t="s">
        <v>246</v>
      </c>
      <c r="C506" s="141" t="s">
        <v>102</v>
      </c>
      <c r="D506" s="142"/>
      <c r="E506" s="143">
        <f>E507+E510+E513</f>
        <v>11320</v>
      </c>
      <c r="F506" s="143">
        <f>F507+F510+F513</f>
        <v>11159.74</v>
      </c>
      <c r="G506" s="144">
        <f t="shared" si="34"/>
        <v>98.584275618374562</v>
      </c>
    </row>
    <row r="507" spans="1:7" ht="21.75" customHeight="1" x14ac:dyDescent="0.2">
      <c r="A507" s="145"/>
      <c r="B507" s="141" t="s">
        <v>247</v>
      </c>
      <c r="C507" s="141" t="s">
        <v>248</v>
      </c>
      <c r="D507" s="142"/>
      <c r="E507" s="143">
        <f>E508+E509</f>
        <v>7656.65</v>
      </c>
      <c r="F507" s="143">
        <f>F508+F509</f>
        <v>7519.08</v>
      </c>
      <c r="G507" s="144">
        <f t="shared" si="34"/>
        <v>98.203261217373139</v>
      </c>
    </row>
    <row r="508" spans="1:7" ht="21.75" customHeight="1" x14ac:dyDescent="0.2">
      <c r="A508" s="145"/>
      <c r="B508" s="146" t="s">
        <v>249</v>
      </c>
      <c r="C508" s="146" t="s">
        <v>104</v>
      </c>
      <c r="D508" s="147" t="s">
        <v>261</v>
      </c>
      <c r="E508" s="150">
        <v>2679.83</v>
      </c>
      <c r="F508" s="150">
        <v>2542.2600000000002</v>
      </c>
      <c r="G508" s="151">
        <f t="shared" si="34"/>
        <v>94.866465410119304</v>
      </c>
    </row>
    <row r="509" spans="1:7" ht="21.75" customHeight="1" x14ac:dyDescent="0.2">
      <c r="A509" s="145"/>
      <c r="B509" s="146" t="s">
        <v>249</v>
      </c>
      <c r="C509" s="146" t="s">
        <v>104</v>
      </c>
      <c r="D509" s="147" t="s">
        <v>368</v>
      </c>
      <c r="E509" s="150">
        <v>4976.82</v>
      </c>
      <c r="F509" s="150">
        <v>4976.82</v>
      </c>
      <c r="G509" s="151">
        <f t="shared" si="34"/>
        <v>100</v>
      </c>
    </row>
    <row r="510" spans="1:7" ht="21.75" customHeight="1" x14ac:dyDescent="0.2">
      <c r="A510" s="145"/>
      <c r="B510" s="141" t="s">
        <v>251</v>
      </c>
      <c r="C510" s="141" t="s">
        <v>107</v>
      </c>
      <c r="D510" s="142"/>
      <c r="E510" s="143">
        <f>E511+E512</f>
        <v>2400</v>
      </c>
      <c r="F510" s="143">
        <f>F511+F512</f>
        <v>2400</v>
      </c>
      <c r="G510" s="144">
        <f t="shared" si="34"/>
        <v>100</v>
      </c>
    </row>
    <row r="511" spans="1:7" ht="21.75" customHeight="1" x14ac:dyDescent="0.2">
      <c r="A511" s="145"/>
      <c r="B511" s="146" t="s">
        <v>108</v>
      </c>
      <c r="C511" s="146" t="s">
        <v>107</v>
      </c>
      <c r="D511" s="147" t="s">
        <v>261</v>
      </c>
      <c r="E511" s="150">
        <v>840</v>
      </c>
      <c r="F511" s="150">
        <v>840</v>
      </c>
      <c r="G511" s="151">
        <f t="shared" si="34"/>
        <v>100</v>
      </c>
    </row>
    <row r="512" spans="1:7" ht="21.75" customHeight="1" x14ac:dyDescent="0.2">
      <c r="A512" s="145"/>
      <c r="B512" s="146" t="s">
        <v>108</v>
      </c>
      <c r="C512" s="146" t="s">
        <v>107</v>
      </c>
      <c r="D512" s="147" t="s">
        <v>368</v>
      </c>
      <c r="E512" s="150">
        <v>1560</v>
      </c>
      <c r="F512" s="150">
        <v>1560</v>
      </c>
      <c r="G512" s="151">
        <f t="shared" si="34"/>
        <v>100</v>
      </c>
    </row>
    <row r="513" spans="1:7" ht="21.75" customHeight="1" x14ac:dyDescent="0.2">
      <c r="A513" s="145"/>
      <c r="B513" s="141" t="s">
        <v>252</v>
      </c>
      <c r="C513" s="141" t="s">
        <v>109</v>
      </c>
      <c r="D513" s="142"/>
      <c r="E513" s="143">
        <f>E514+E515</f>
        <v>1263.3499999999999</v>
      </c>
      <c r="F513" s="143">
        <f>F514+F515</f>
        <v>1240.6599999999999</v>
      </c>
      <c r="G513" s="144">
        <f t="shared" si="34"/>
        <v>98.20398147781691</v>
      </c>
    </row>
    <row r="514" spans="1:7" ht="21.75" customHeight="1" x14ac:dyDescent="0.2">
      <c r="A514" s="145"/>
      <c r="B514" s="146" t="s">
        <v>253</v>
      </c>
      <c r="C514" s="146" t="s">
        <v>110</v>
      </c>
      <c r="D514" s="147" t="s">
        <v>261</v>
      </c>
      <c r="E514" s="150">
        <v>442.17</v>
      </c>
      <c r="F514" s="150">
        <v>419.48</v>
      </c>
      <c r="G514" s="151">
        <f t="shared" si="34"/>
        <v>94.868489494990612</v>
      </c>
    </row>
    <row r="515" spans="1:7" ht="21.75" customHeight="1" x14ac:dyDescent="0.2">
      <c r="A515" s="145"/>
      <c r="B515" s="146" t="s">
        <v>253</v>
      </c>
      <c r="C515" s="146" t="s">
        <v>110</v>
      </c>
      <c r="D515" s="147" t="s">
        <v>368</v>
      </c>
      <c r="E515" s="150">
        <v>821.18</v>
      </c>
      <c r="F515" s="150">
        <v>821.18</v>
      </c>
      <c r="G515" s="151">
        <f t="shared" si="34"/>
        <v>100</v>
      </c>
    </row>
    <row r="516" spans="1:7" ht="21.75" customHeight="1" x14ac:dyDescent="0.2">
      <c r="A516" s="145"/>
      <c r="B516" s="141" t="s">
        <v>206</v>
      </c>
      <c r="C516" s="141" t="s">
        <v>112</v>
      </c>
      <c r="D516" s="142"/>
      <c r="E516" s="143">
        <f>E517+E522</f>
        <v>1135</v>
      </c>
      <c r="F516" s="143">
        <f>F517+F522</f>
        <v>883.17</v>
      </c>
      <c r="G516" s="144">
        <f t="shared" si="34"/>
        <v>77.812334801762105</v>
      </c>
    </row>
    <row r="517" spans="1:7" ht="21.75" customHeight="1" x14ac:dyDescent="0.2">
      <c r="A517" s="145"/>
      <c r="B517" s="141" t="s">
        <v>207</v>
      </c>
      <c r="C517" s="141" t="s">
        <v>113</v>
      </c>
      <c r="D517" s="142"/>
      <c r="E517" s="143">
        <f>SUM(E518:E521)</f>
        <v>905.66000000000008</v>
      </c>
      <c r="F517" s="143">
        <f>SUM(F518:F521)</f>
        <v>700.01</v>
      </c>
      <c r="G517" s="144">
        <f t="shared" si="34"/>
        <v>77.292803038667927</v>
      </c>
    </row>
    <row r="518" spans="1:7" ht="21.75" customHeight="1" x14ac:dyDescent="0.2">
      <c r="A518" s="145"/>
      <c r="B518" s="146">
        <v>3211</v>
      </c>
      <c r="C518" s="146" t="s">
        <v>115</v>
      </c>
      <c r="D518" s="147">
        <v>11001</v>
      </c>
      <c r="E518" s="148">
        <v>68.48</v>
      </c>
      <c r="F518" s="148">
        <v>0</v>
      </c>
      <c r="G518" s="151">
        <f t="shared" si="34"/>
        <v>0</v>
      </c>
    </row>
    <row r="519" spans="1:7" ht="21.75" customHeight="1" x14ac:dyDescent="0.2">
      <c r="A519" s="145"/>
      <c r="B519" s="146">
        <v>3211</v>
      </c>
      <c r="C519" s="146" t="s">
        <v>115</v>
      </c>
      <c r="D519" s="147">
        <v>51100</v>
      </c>
      <c r="E519" s="148">
        <v>127.18</v>
      </c>
      <c r="F519" s="148">
        <v>79.650000000000006</v>
      </c>
      <c r="G519" s="151">
        <f t="shared" si="34"/>
        <v>62.627771662211039</v>
      </c>
    </row>
    <row r="520" spans="1:7" ht="21.75" customHeight="1" x14ac:dyDescent="0.2">
      <c r="A520" s="145"/>
      <c r="B520" s="146" t="s">
        <v>116</v>
      </c>
      <c r="C520" s="146" t="s">
        <v>117</v>
      </c>
      <c r="D520" s="147" t="s">
        <v>261</v>
      </c>
      <c r="E520" s="150">
        <v>248.5</v>
      </c>
      <c r="F520" s="150">
        <v>158.86000000000001</v>
      </c>
      <c r="G520" s="151">
        <f t="shared" si="34"/>
        <v>63.927565392354133</v>
      </c>
    </row>
    <row r="521" spans="1:7" ht="21.75" customHeight="1" x14ac:dyDescent="0.2">
      <c r="A521" s="145"/>
      <c r="B521" s="146" t="s">
        <v>116</v>
      </c>
      <c r="C521" s="146" t="s">
        <v>117</v>
      </c>
      <c r="D521" s="147" t="s">
        <v>368</v>
      </c>
      <c r="E521" s="150">
        <v>461.5</v>
      </c>
      <c r="F521" s="150">
        <v>461.5</v>
      </c>
      <c r="G521" s="151">
        <f t="shared" si="34"/>
        <v>100</v>
      </c>
    </row>
    <row r="522" spans="1:7" ht="21.75" customHeight="1" x14ac:dyDescent="0.2">
      <c r="A522" s="145"/>
      <c r="B522" s="141" t="s">
        <v>220</v>
      </c>
      <c r="C522" s="141" t="s">
        <v>130</v>
      </c>
      <c r="D522" s="147"/>
      <c r="E522" s="204">
        <f>E523+E524</f>
        <v>229.33999999999997</v>
      </c>
      <c r="F522" s="204">
        <f>F523+F524</f>
        <v>183.16</v>
      </c>
      <c r="G522" s="144">
        <f t="shared" si="34"/>
        <v>79.86395744309759</v>
      </c>
    </row>
    <row r="523" spans="1:7" ht="21.75" customHeight="1" x14ac:dyDescent="0.2">
      <c r="A523" s="145"/>
      <c r="B523" s="146">
        <v>3236</v>
      </c>
      <c r="C523" s="146" t="s">
        <v>139</v>
      </c>
      <c r="D523" s="147" t="s">
        <v>261</v>
      </c>
      <c r="E523" s="150">
        <v>80.27</v>
      </c>
      <c r="F523" s="150">
        <v>34.090000000000003</v>
      </c>
      <c r="G523" s="151">
        <f t="shared" si="34"/>
        <v>42.469166562850383</v>
      </c>
    </row>
    <row r="524" spans="1:7" ht="21.75" customHeight="1" x14ac:dyDescent="0.2">
      <c r="A524" s="180"/>
      <c r="B524" s="146">
        <v>3236</v>
      </c>
      <c r="C524" s="146" t="s">
        <v>139</v>
      </c>
      <c r="D524" s="147" t="s">
        <v>368</v>
      </c>
      <c r="E524" s="150">
        <v>149.07</v>
      </c>
      <c r="F524" s="150">
        <v>149.07</v>
      </c>
      <c r="G524" s="151">
        <f t="shared" si="34"/>
        <v>100</v>
      </c>
    </row>
    <row r="525" spans="1:7" ht="21.75" customHeight="1" x14ac:dyDescent="0.2">
      <c r="A525" s="145"/>
      <c r="B525" s="145"/>
      <c r="C525" s="145"/>
      <c r="D525" s="152"/>
      <c r="E525" s="154"/>
      <c r="F525" s="154"/>
      <c r="G525" s="155"/>
    </row>
    <row r="526" spans="1:7" ht="21.75" customHeight="1" x14ac:dyDescent="0.2">
      <c r="A526" s="212" t="s">
        <v>372</v>
      </c>
      <c r="B526" s="274" t="s">
        <v>373</v>
      </c>
      <c r="C526" s="275"/>
      <c r="D526" s="213"/>
      <c r="E526" s="214">
        <f>E7</f>
        <v>2824285.11</v>
      </c>
      <c r="F526" s="214">
        <f>F7</f>
        <v>2834406.27</v>
      </c>
      <c r="G526" s="215">
        <f t="shared" si="34"/>
        <v>100.35836183691809</v>
      </c>
    </row>
    <row r="527" spans="1:7" ht="21.75" customHeight="1" x14ac:dyDescent="0.2">
      <c r="A527" s="26"/>
      <c r="B527" s="26"/>
      <c r="C527" s="26"/>
      <c r="D527" s="26"/>
      <c r="E527" s="26"/>
      <c r="F527" s="26"/>
      <c r="G527" s="26"/>
    </row>
    <row r="528" spans="1:7" ht="21.75" customHeight="1" x14ac:dyDescent="0.2">
      <c r="A528" s="26"/>
      <c r="B528" s="26"/>
      <c r="C528" s="26"/>
      <c r="D528" s="26"/>
      <c r="E528" s="26"/>
      <c r="F528" s="26"/>
      <c r="G528" s="26"/>
    </row>
    <row r="529" spans="1:7" ht="38.25" customHeight="1" x14ac:dyDescent="0.2">
      <c r="A529" s="276" t="s">
        <v>374</v>
      </c>
      <c r="B529" s="277"/>
      <c r="C529" s="277"/>
      <c r="D529" s="277"/>
      <c r="E529" s="181" t="s">
        <v>11</v>
      </c>
      <c r="F529" s="181" t="s">
        <v>12</v>
      </c>
      <c r="G529" s="181" t="s">
        <v>13</v>
      </c>
    </row>
    <row r="530" spans="1:7" ht="21.75" customHeight="1" x14ac:dyDescent="0.2">
      <c r="A530" s="207" t="s">
        <v>375</v>
      </c>
      <c r="B530" s="263" t="s">
        <v>376</v>
      </c>
      <c r="C530" s="264"/>
      <c r="D530" s="264"/>
      <c r="E530" s="208">
        <v>585144.11</v>
      </c>
      <c r="F530" s="209">
        <f>SUMIF(D11:D524,"11001",F11:F524)+598.93</f>
        <v>587211.04999999993</v>
      </c>
      <c r="G530" s="209">
        <f t="shared" ref="G530:G542" si="36">F530/E530*100</f>
        <v>100.35323606008781</v>
      </c>
    </row>
    <row r="531" spans="1:7" ht="21.75" customHeight="1" x14ac:dyDescent="0.2">
      <c r="A531" s="207" t="s">
        <v>206</v>
      </c>
      <c r="B531" s="263" t="s">
        <v>377</v>
      </c>
      <c r="C531" s="264"/>
      <c r="D531" s="264"/>
      <c r="E531" s="208">
        <v>14970.11</v>
      </c>
      <c r="F531" s="209">
        <f>SUMIF(D11:D524,"32300",F11:F524)</f>
        <v>13134.63</v>
      </c>
      <c r="G531" s="209">
        <f t="shared" si="36"/>
        <v>87.739034649711982</v>
      </c>
    </row>
    <row r="532" spans="1:7" ht="21.75" customHeight="1" x14ac:dyDescent="0.2">
      <c r="A532" s="207" t="s">
        <v>378</v>
      </c>
      <c r="B532" s="263" t="s">
        <v>379</v>
      </c>
      <c r="C532" s="264"/>
      <c r="D532" s="264"/>
      <c r="E532" s="208">
        <v>98800.88</v>
      </c>
      <c r="F532" s="209">
        <f>SUMIF(D11:D524,"47300",F11:F524)</f>
        <v>96736.18</v>
      </c>
      <c r="G532" s="209">
        <f t="shared" si="36"/>
        <v>97.910241285300287</v>
      </c>
    </row>
    <row r="533" spans="1:7" ht="21.75" customHeight="1" x14ac:dyDescent="0.2">
      <c r="A533" s="207" t="s">
        <v>380</v>
      </c>
      <c r="B533" s="263" t="s">
        <v>381</v>
      </c>
      <c r="C533" s="264"/>
      <c r="D533" s="264"/>
      <c r="E533" s="208">
        <v>72680.2</v>
      </c>
      <c r="F533" s="209">
        <f>SUMIF(D11:D524,"48005",F11:F524)+SUMIF(D11:D524,"48006",F11:F524)</f>
        <v>64365.45</v>
      </c>
      <c r="G533" s="209">
        <f t="shared" si="36"/>
        <v>88.559814089669544</v>
      </c>
    </row>
    <row r="534" spans="1:7" ht="21.75" customHeight="1" x14ac:dyDescent="0.2">
      <c r="A534" s="207" t="s">
        <v>382</v>
      </c>
      <c r="B534" s="263" t="s">
        <v>383</v>
      </c>
      <c r="C534" s="264"/>
      <c r="D534" s="264"/>
      <c r="E534" s="208">
        <v>24329.75</v>
      </c>
      <c r="F534" s="209">
        <f>SUMIF(D11:D524,"51100",F11:F524)</f>
        <v>24282.22</v>
      </c>
      <c r="G534" s="209">
        <f t="shared" si="36"/>
        <v>99.804642464472522</v>
      </c>
    </row>
    <row r="535" spans="1:7" ht="21.75" customHeight="1" x14ac:dyDescent="0.2">
      <c r="A535" s="207">
        <v>52</v>
      </c>
      <c r="B535" s="265" t="s">
        <v>384</v>
      </c>
      <c r="C535" s="265"/>
      <c r="D535" s="265"/>
      <c r="E535" s="208">
        <v>9619.14</v>
      </c>
      <c r="F535" s="209">
        <f>SUMIF(D11:D524,"52082",F11:F524)</f>
        <v>9619.14</v>
      </c>
      <c r="G535" s="209">
        <f t="shared" si="36"/>
        <v>100</v>
      </c>
    </row>
    <row r="536" spans="1:7" ht="21.75" customHeight="1" x14ac:dyDescent="0.2">
      <c r="A536" s="207" t="s">
        <v>385</v>
      </c>
      <c r="B536" s="263" t="s">
        <v>386</v>
      </c>
      <c r="C536" s="264"/>
      <c r="D536" s="264"/>
      <c r="E536" s="208">
        <v>1885238.61</v>
      </c>
      <c r="F536" s="209">
        <f>SUMIF(D11:D524,"53061",F11:G558) + SUMIF(D11:D524,"53060",F11:F524)+SUMIF(D11:D524,"53080",F11:F524)+SUMIF(D11:D524,"53082",F11:F524)+SUMIF(D11:D524,"53102",F11:F524)+SUMIF(D11:D524,"53076",F11:F524)-598.93</f>
        <v>1908311.9100000001</v>
      </c>
      <c r="G536" s="209">
        <f t="shared" si="36"/>
        <v>101.22389282065467</v>
      </c>
    </row>
    <row r="537" spans="1:7" ht="21.75" customHeight="1" x14ac:dyDescent="0.2">
      <c r="A537" s="207" t="s">
        <v>387</v>
      </c>
      <c r="B537" s="263" t="s">
        <v>388</v>
      </c>
      <c r="C537" s="264"/>
      <c r="D537" s="264"/>
      <c r="E537" s="208">
        <v>111055.4</v>
      </c>
      <c r="F537" s="209">
        <f>SUMIF(D11:D524,"55043",F11:F524)</f>
        <v>100925.79000000001</v>
      </c>
      <c r="G537" s="209">
        <f t="shared" si="36"/>
        <v>90.87877761909823</v>
      </c>
    </row>
    <row r="538" spans="1:7" ht="21.75" customHeight="1" x14ac:dyDescent="0.2">
      <c r="A538" s="207" t="s">
        <v>389</v>
      </c>
      <c r="B538" s="263" t="s">
        <v>390</v>
      </c>
      <c r="C538" s="264"/>
      <c r="D538" s="264"/>
      <c r="E538" s="208">
        <v>8858</v>
      </c>
      <c r="F538" s="209">
        <f>SUMIF(D11:D524,"58300",F11:F524)</f>
        <v>10649.53</v>
      </c>
      <c r="G538" s="209">
        <f t="shared" si="36"/>
        <v>120.22499435538496</v>
      </c>
    </row>
    <row r="539" spans="1:7" ht="21.75" customHeight="1" x14ac:dyDescent="0.2">
      <c r="A539" s="207" t="s">
        <v>391</v>
      </c>
      <c r="B539" s="263" t="s">
        <v>392</v>
      </c>
      <c r="C539" s="264"/>
      <c r="D539" s="264"/>
      <c r="E539" s="208">
        <v>875.34</v>
      </c>
      <c r="F539" s="209">
        <f>SUMIF(D11:D524,"62300",F11:F524)</f>
        <v>13254.63</v>
      </c>
      <c r="G539" s="209">
        <f t="shared" si="36"/>
        <v>1514.2264719994514</v>
      </c>
    </row>
    <row r="540" spans="1:7" ht="21.75" customHeight="1" x14ac:dyDescent="0.2">
      <c r="A540" s="207" t="s">
        <v>393</v>
      </c>
      <c r="B540" s="263" t="s">
        <v>394</v>
      </c>
      <c r="C540" s="264"/>
      <c r="D540" s="264"/>
      <c r="E540" s="208">
        <v>0</v>
      </c>
      <c r="F540" s="209">
        <f>SUMIF(D11:D524,"63000",F11:F524)</f>
        <v>0</v>
      </c>
      <c r="G540" s="209" t="e">
        <f t="shared" si="36"/>
        <v>#DIV/0!</v>
      </c>
    </row>
    <row r="541" spans="1:7" ht="21.75" customHeight="1" x14ac:dyDescent="0.2">
      <c r="A541" s="207" t="s">
        <v>395</v>
      </c>
      <c r="B541" s="263" t="s">
        <v>396</v>
      </c>
      <c r="C541" s="264"/>
      <c r="D541" s="264"/>
      <c r="E541" s="208">
        <v>12713.57</v>
      </c>
      <c r="F541" s="209">
        <f>SUMIF(D11:D524,"72300",F11:F524)</f>
        <v>5915.74</v>
      </c>
      <c r="G541" s="209">
        <f t="shared" si="36"/>
        <v>46.530911459173154</v>
      </c>
    </row>
    <row r="542" spans="1:7" ht="21.75" customHeight="1" x14ac:dyDescent="0.2">
      <c r="A542" s="182" t="s">
        <v>372</v>
      </c>
      <c r="B542" s="266"/>
      <c r="C542" s="267"/>
      <c r="D542" s="267"/>
      <c r="E542" s="183">
        <f>SUM(E530:E541)</f>
        <v>2824285.1099999994</v>
      </c>
      <c r="F542" s="183">
        <f>SUM(F530:F541)</f>
        <v>2834406.27</v>
      </c>
      <c r="G542" s="210">
        <f t="shared" si="36"/>
        <v>100.35836183691811</v>
      </c>
    </row>
    <row r="543" spans="1:7" ht="21.75" customHeight="1" x14ac:dyDescent="0.2"/>
    <row r="544" spans="1:7" ht="21.75" customHeight="1" x14ac:dyDescent="0.2"/>
    <row r="545" spans="4:7" ht="21.75" customHeight="1" x14ac:dyDescent="0.2">
      <c r="D545" s="262" t="s">
        <v>397</v>
      </c>
      <c r="E545" s="262"/>
      <c r="F545" s="262"/>
      <c r="G545" s="262"/>
    </row>
    <row r="546" spans="4:7" ht="21.75" customHeight="1" x14ac:dyDescent="0.2">
      <c r="D546" s="206"/>
      <c r="E546" s="206"/>
      <c r="F546" s="206"/>
      <c r="G546" s="206"/>
    </row>
    <row r="547" spans="4:7" ht="21.75" customHeight="1" x14ac:dyDescent="0.2">
      <c r="D547" s="262" t="s">
        <v>398</v>
      </c>
      <c r="E547" s="262"/>
      <c r="F547" s="262"/>
      <c r="G547" s="262"/>
    </row>
    <row r="548" spans="4:7" ht="21.75" customHeight="1" x14ac:dyDescent="0.2"/>
    <row r="549" spans="4:7" ht="21.75" customHeight="1" x14ac:dyDescent="0.2"/>
    <row r="550" spans="4:7" ht="21.75" customHeight="1" x14ac:dyDescent="0.2"/>
    <row r="551" spans="4:7" ht="21.75" customHeight="1" x14ac:dyDescent="0.2"/>
    <row r="552" spans="4:7" ht="21.75" customHeight="1" x14ac:dyDescent="0.2"/>
    <row r="553" spans="4:7" ht="21.75" customHeight="1" x14ac:dyDescent="0.2"/>
    <row r="554" spans="4:7" ht="21.75" customHeight="1" x14ac:dyDescent="0.2"/>
    <row r="555" spans="4:7" ht="21.75" customHeight="1" x14ac:dyDescent="0.2"/>
    <row r="556" spans="4:7" ht="21.75" customHeight="1" x14ac:dyDescent="0.2"/>
    <row r="557" spans="4:7" ht="21.75" customHeight="1" x14ac:dyDescent="0.2"/>
    <row r="558" spans="4:7" ht="21.75" customHeight="1" x14ac:dyDescent="0.2"/>
    <row r="559" spans="4:7" ht="18" customHeight="1" x14ac:dyDescent="0.2"/>
    <row r="560" spans="4:7" ht="18" customHeight="1" x14ac:dyDescent="0.2"/>
    <row r="561" ht="18" customHeight="1" x14ac:dyDescent="0.2"/>
    <row r="562" ht="18" customHeight="1" x14ac:dyDescent="0.2"/>
    <row r="563" ht="18" customHeight="1" x14ac:dyDescent="0.2"/>
    <row r="564" ht="18" customHeight="1" x14ac:dyDescent="0.2"/>
    <row r="565" ht="18" customHeight="1" x14ac:dyDescent="0.2"/>
  </sheetData>
  <mergeCells count="71">
    <mergeCell ref="B44:C44"/>
    <mergeCell ref="A3:G3"/>
    <mergeCell ref="B6:C6"/>
    <mergeCell ref="B7:C7"/>
    <mergeCell ref="B8:C8"/>
    <mergeCell ref="B10:C10"/>
    <mergeCell ref="B280:C280"/>
    <mergeCell ref="B55:C55"/>
    <mergeCell ref="B85:C85"/>
    <mergeCell ref="B107:C107"/>
    <mergeCell ref="B109:C109"/>
    <mergeCell ref="B123:C123"/>
    <mergeCell ref="B125:C125"/>
    <mergeCell ref="B149:C149"/>
    <mergeCell ref="B162:C162"/>
    <mergeCell ref="B187:C187"/>
    <mergeCell ref="B221:C221"/>
    <mergeCell ref="B267:C267"/>
    <mergeCell ref="B387:C387"/>
    <mergeCell ref="B298:C298"/>
    <mergeCell ref="B304:C304"/>
    <mergeCell ref="B320:C320"/>
    <mergeCell ref="B344:C344"/>
    <mergeCell ref="B349:C349"/>
    <mergeCell ref="B355:C355"/>
    <mergeCell ref="B363:C363"/>
    <mergeCell ref="B375:C375"/>
    <mergeCell ref="B380:C380"/>
    <mergeCell ref="B385:C385"/>
    <mergeCell ref="B386:C386"/>
    <mergeCell ref="B447:C447"/>
    <mergeCell ref="B394:C394"/>
    <mergeCell ref="B399:C399"/>
    <mergeCell ref="B404:C404"/>
    <mergeCell ref="B409:C409"/>
    <mergeCell ref="B410:C410"/>
    <mergeCell ref="B411:C411"/>
    <mergeCell ref="B417:C417"/>
    <mergeCell ref="B428:C428"/>
    <mergeCell ref="B434:C434"/>
    <mergeCell ref="B435:C435"/>
    <mergeCell ref="B441:C441"/>
    <mergeCell ref="B436:C436"/>
    <mergeCell ref="B526:C526"/>
    <mergeCell ref="A529:D529"/>
    <mergeCell ref="B530:D530"/>
    <mergeCell ref="B531:D531"/>
    <mergeCell ref="B502:C502"/>
    <mergeCell ref="B503:C503"/>
    <mergeCell ref="B504:C504"/>
    <mergeCell ref="B468:C468"/>
    <mergeCell ref="B474:C474"/>
    <mergeCell ref="B483:C483"/>
    <mergeCell ref="B484:C484"/>
    <mergeCell ref="B485:C485"/>
    <mergeCell ref="A1:G1"/>
    <mergeCell ref="D547:G547"/>
    <mergeCell ref="B533:D533"/>
    <mergeCell ref="B534:D534"/>
    <mergeCell ref="B535:D535"/>
    <mergeCell ref="B536:D536"/>
    <mergeCell ref="B537:D537"/>
    <mergeCell ref="B538:D538"/>
    <mergeCell ref="B539:D539"/>
    <mergeCell ref="B540:D540"/>
    <mergeCell ref="B541:D541"/>
    <mergeCell ref="B542:D542"/>
    <mergeCell ref="D545:G545"/>
    <mergeCell ref="B532:D532"/>
    <mergeCell ref="B448:C448"/>
    <mergeCell ref="B449:C449"/>
  </mergeCells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headerFooter>
    <oddHeader>&amp;LOsnovna škola "Vazmoslav Gržalja"&amp;RIzvještaj o izvršenju Financijskog plana za razdoblje od 01.01. do 30.06.2023.g.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1</vt:i4>
      </vt:variant>
    </vt:vector>
  </HeadingPairs>
  <TitlesOfParts>
    <vt:vector size="7" baseType="lpstr">
      <vt:lpstr>Naslovna strana</vt:lpstr>
      <vt:lpstr>SAŽETAK</vt:lpstr>
      <vt:lpstr>OPĆI DIO-PRIHODI</vt:lpstr>
      <vt:lpstr>OPĆI DIO-RASHODI</vt:lpstr>
      <vt:lpstr>RASHODI PO FUNKCIJSKOJ KLASIF.</vt:lpstr>
      <vt:lpstr>POSEBNI DIO</vt:lpstr>
      <vt:lpstr>'POSEBNI DIO'!Ispis_naslova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2023-07-20T17:27:03Z</dcterms:created>
  <dcterms:modified xsi:type="dcterms:W3CDTF">2025-03-03T14:32:33Z</dcterms:modified>
  <cp:category/>
  <cp:contentStatus/>
</cp:coreProperties>
</file>